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3.- Asignación de Recursos/Cálculo Recursos 2025/AIUE/Para_WEB/"/>
    </mc:Choice>
  </mc:AlternateContent>
  <xr:revisionPtr revIDLastSave="20" documentId="8_{7340E7A2-BCBB-48C5-B354-ED9B870761B5}" xr6:coauthVersionLast="47" xr6:coauthVersionMax="47" xr10:uidLastSave="{E26AEE3D-C586-4280-B5B0-D40342540F7F}"/>
  <bookViews>
    <workbookView xWindow="20370" yWindow="-120" windowWidth="29040" windowHeight="15840" tabRatio="861" xr2:uid="{00000000-000D-0000-FFFF-FFFF00000000}"/>
  </bookViews>
  <sheets>
    <sheet name="Montos AIUE 2025" sheetId="4" r:id="rId1"/>
    <sheet name="Montos Anticipo AIUE 2025 " sheetId="20" r:id="rId2"/>
    <sheet name="Complejidad" sheetId="19" r:id="rId3"/>
    <sheet name="Publicaciones" sheetId="5" r:id="rId4"/>
    <sheet name="Acreditación" sheetId="6" r:id="rId5"/>
    <sheet name="Doctorado JC " sheetId="7" r:id="rId6"/>
    <sheet name="Programas Doct. Acreditados " sheetId="8" r:id="rId7"/>
    <sheet name="Académicos JC " sheetId="9" r:id="rId8"/>
    <sheet name="Matrícula Regular Pre " sheetId="10" r:id="rId9"/>
    <sheet name="Indicadores (Desempeño)" sheetId="3" r:id="rId10"/>
    <sheet name="Valores" sheetId="2" r:id="rId11"/>
    <sheet name="Categorías" sheetId="1" r:id="rId12"/>
    <sheet name="Refuerzo" sheetId="12" r:id="rId13"/>
    <sheet name="Pedagogía" sheetId="13" r:id="rId14"/>
    <sheet name="Género" sheetId="14" r:id="rId15"/>
    <sheet name="Indicadores Género" sheetId="16" r:id="rId16"/>
  </sheets>
  <definedNames>
    <definedName name="_xlnm._FilterDatabase" localSheetId="7" hidden="1">'Académicos JC '!$A$2:$C$20</definedName>
    <definedName name="_xlnm._FilterDatabase" localSheetId="11" hidden="1">Categorías!$A$4:$Z$23</definedName>
    <definedName name="_xlnm._FilterDatabase" localSheetId="2" hidden="1">Complejidad!$A$4:$J$24</definedName>
    <definedName name="_xlnm._FilterDatabase" localSheetId="5" hidden="1">'Doctorado JC '!$A$2:$C$20</definedName>
    <definedName name="_xlnm._FilterDatabase" localSheetId="9" hidden="1">'Indicadores (Desempeño)'!$A$1:$AI$20</definedName>
    <definedName name="_xlnm._FilterDatabase" localSheetId="0" hidden="1">'Montos AIUE 2025'!$A$14:$AD$51</definedName>
    <definedName name="_xlnm._FilterDatabase" localSheetId="1" hidden="1">'Montos Anticipo AIUE 2025 '!$A$7:$B$32</definedName>
    <definedName name="_xlnm._FilterDatabase" localSheetId="13" hidden="1">Pedagogía!$A$14:$AB$34</definedName>
    <definedName name="_xlnm._FilterDatabase" localSheetId="10" hidden="1">Valores!$A$1:$Y$26</definedName>
    <definedName name="_xlnm.Print_Area" localSheetId="2">Complejidad!$A$1:$J$24</definedName>
    <definedName name="_xlnm.Print_Area" localSheetId="0">'Montos AIUE 2025'!$A$1:$AC$38</definedName>
    <definedName name="_xlnm.Print_Area" localSheetId="12">Refuerzo!$A$29:$F$33</definedName>
    <definedName name="_xlnm.Print_Titles" localSheetId="2">Complejidad!$B:$B</definedName>
    <definedName name="_xlnm.Print_Titles" localSheetId="0">'Montos AIUE 2025'!$B:$B</definedName>
    <definedName name="_xlnm.Print_Titles" localSheetId="1">'Montos Anticipo AIUE 2025 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4" l="1"/>
  <c r="Z15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15" i="4"/>
  <c r="O25" i="4"/>
  <c r="AE25" i="4" s="1"/>
  <c r="P16" i="4"/>
  <c r="O16" i="4" s="1"/>
  <c r="AE16" i="4" s="1"/>
  <c r="Q16" i="4"/>
  <c r="P17" i="4"/>
  <c r="O17" i="4" s="1"/>
  <c r="AE17" i="4" s="1"/>
  <c r="Q17" i="4"/>
  <c r="P18" i="4"/>
  <c r="O18" i="4" s="1"/>
  <c r="AE18" i="4" s="1"/>
  <c r="Q18" i="4"/>
  <c r="P19" i="4"/>
  <c r="O19" i="4" s="1"/>
  <c r="AE19" i="4" s="1"/>
  <c r="Q19" i="4"/>
  <c r="P20" i="4"/>
  <c r="O20" i="4" s="1"/>
  <c r="AE20" i="4" s="1"/>
  <c r="Q20" i="4"/>
  <c r="P21" i="4"/>
  <c r="O21" i="4" s="1"/>
  <c r="AE21" i="4" s="1"/>
  <c r="Q21" i="4"/>
  <c r="P22" i="4"/>
  <c r="O22" i="4" s="1"/>
  <c r="AE22" i="4" s="1"/>
  <c r="Q22" i="4"/>
  <c r="P23" i="4"/>
  <c r="O23" i="4" s="1"/>
  <c r="AE23" i="4" s="1"/>
  <c r="Q23" i="4"/>
  <c r="P24" i="4"/>
  <c r="O24" i="4" s="1"/>
  <c r="AE24" i="4" s="1"/>
  <c r="Q24" i="4"/>
  <c r="P25" i="4"/>
  <c r="Q25" i="4"/>
  <c r="P26" i="4"/>
  <c r="O26" i="4" s="1"/>
  <c r="AE26" i="4" s="1"/>
  <c r="Q26" i="4"/>
  <c r="P27" i="4"/>
  <c r="O27" i="4" s="1"/>
  <c r="AE27" i="4" s="1"/>
  <c r="Q27" i="4"/>
  <c r="P28" i="4"/>
  <c r="O28" i="4" s="1"/>
  <c r="AE28" i="4" s="1"/>
  <c r="Q28" i="4"/>
  <c r="P29" i="4"/>
  <c r="O29" i="4" s="1"/>
  <c r="AE29" i="4" s="1"/>
  <c r="Q29" i="4"/>
  <c r="P30" i="4"/>
  <c r="O30" i="4" s="1"/>
  <c r="AE30" i="4" s="1"/>
  <c r="Q30" i="4"/>
  <c r="P31" i="4"/>
  <c r="O31" i="4" s="1"/>
  <c r="AE31" i="4" s="1"/>
  <c r="Q31" i="4"/>
  <c r="P32" i="4"/>
  <c r="O32" i="4" s="1"/>
  <c r="AE32" i="4" s="1"/>
  <c r="Q32" i="4"/>
  <c r="Q15" i="4"/>
  <c r="P15" i="4"/>
  <c r="O15" i="4" s="1"/>
  <c r="AE15" i="4" s="1"/>
  <c r="N25" i="20"/>
  <c r="N26" i="20"/>
  <c r="N29" i="20"/>
  <c r="N30" i="20"/>
  <c r="N14" i="20"/>
  <c r="N15" i="20"/>
  <c r="N16" i="20"/>
  <c r="N17" i="20"/>
  <c r="N18" i="20"/>
  <c r="N19" i="20"/>
  <c r="N20" i="20"/>
  <c r="N21" i="20"/>
  <c r="N22" i="20"/>
  <c r="N23" i="20"/>
  <c r="N24" i="20"/>
  <c r="N27" i="20"/>
  <c r="N28" i="20"/>
  <c r="N13" i="20"/>
  <c r="J34" i="4" l="1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15" i="4"/>
  <c r="B41" i="20" l="1"/>
  <c r="B37" i="20"/>
  <c r="B38" i="20" s="1"/>
  <c r="L31" i="20"/>
  <c r="K31" i="20"/>
  <c r="E36" i="20" s="1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E37" i="20" l="1"/>
  <c r="F37" i="20" s="1"/>
  <c r="N31" i="20"/>
  <c r="C36" i="20"/>
  <c r="C37" i="20" s="1"/>
  <c r="B40" i="20"/>
  <c r="B42" i="20" s="1"/>
  <c r="I22" i="20" s="1"/>
  <c r="J22" i="20" s="1"/>
  <c r="I14" i="20"/>
  <c r="J14" i="20" s="1"/>
  <c r="I30" i="20"/>
  <c r="J30" i="20" s="1"/>
  <c r="I15" i="20"/>
  <c r="J15" i="20" s="1"/>
  <c r="E38" i="20"/>
  <c r="F36" i="20"/>
  <c r="F38" i="20" s="1"/>
  <c r="H31" i="20"/>
  <c r="I27" i="20" l="1"/>
  <c r="J27" i="20" s="1"/>
  <c r="I28" i="20"/>
  <c r="J28" i="20" s="1"/>
  <c r="I26" i="20"/>
  <c r="J26" i="20" s="1"/>
  <c r="I23" i="20"/>
  <c r="J23" i="20" s="1"/>
  <c r="I24" i="20"/>
  <c r="J24" i="20" s="1"/>
  <c r="I29" i="20"/>
  <c r="J29" i="20" s="1"/>
  <c r="I21" i="20"/>
  <c r="J21" i="20" s="1"/>
  <c r="I13" i="20"/>
  <c r="J13" i="20" s="1"/>
  <c r="I25" i="20"/>
  <c r="J25" i="20" s="1"/>
  <c r="I17" i="20"/>
  <c r="J17" i="20" s="1"/>
  <c r="I19" i="20"/>
  <c r="J19" i="20" s="1"/>
  <c r="I20" i="20"/>
  <c r="J20" i="20" s="1"/>
  <c r="I18" i="20"/>
  <c r="J18" i="20" s="1"/>
  <c r="I16" i="20"/>
  <c r="J16" i="20" s="1"/>
  <c r="I31" i="20" l="1"/>
  <c r="J31" i="20"/>
  <c r="J32" i="20" s="1"/>
  <c r="B51" i="4" l="1"/>
  <c r="B48" i="4"/>
  <c r="C20" i="19"/>
  <c r="B20" i="19"/>
  <c r="A20" i="19"/>
  <c r="C19" i="19"/>
  <c r="B19" i="19"/>
  <c r="A19" i="19"/>
  <c r="C18" i="19"/>
  <c r="B18" i="19"/>
  <c r="A18" i="19"/>
  <c r="C17" i="19"/>
  <c r="B17" i="19"/>
  <c r="A17" i="19"/>
  <c r="C16" i="19"/>
  <c r="B16" i="19"/>
  <c r="A16" i="19"/>
  <c r="C15" i="19"/>
  <c r="B15" i="19"/>
  <c r="A15" i="19"/>
  <c r="C14" i="19"/>
  <c r="B14" i="19"/>
  <c r="A14" i="19"/>
  <c r="C13" i="19"/>
  <c r="B13" i="19"/>
  <c r="A13" i="19"/>
  <c r="C12" i="19"/>
  <c r="B12" i="19"/>
  <c r="A12" i="19"/>
  <c r="C11" i="19"/>
  <c r="B11" i="19"/>
  <c r="A11" i="19"/>
  <c r="C10" i="19"/>
  <c r="B10" i="19"/>
  <c r="A10" i="19"/>
  <c r="C9" i="19"/>
  <c r="B9" i="19"/>
  <c r="A9" i="19"/>
  <c r="C8" i="19"/>
  <c r="B8" i="19"/>
  <c r="A8" i="19"/>
  <c r="C7" i="19"/>
  <c r="B7" i="19"/>
  <c r="A7" i="19"/>
  <c r="C6" i="19"/>
  <c r="B6" i="19"/>
  <c r="A6" i="19"/>
  <c r="C5" i="19"/>
  <c r="B5" i="19"/>
  <c r="A5" i="19"/>
  <c r="C38" i="4" l="1"/>
  <c r="Q22" i="13" l="1"/>
  <c r="W33" i="4"/>
  <c r="AB23" i="13"/>
  <c r="B42" i="4" l="1"/>
  <c r="H38" i="4" l="1"/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4" i="14"/>
  <c r="G28" i="16"/>
  <c r="B5" i="14"/>
  <c r="B6" i="14"/>
  <c r="B7" i="14"/>
  <c r="B8" i="14"/>
  <c r="B9" i="14"/>
  <c r="B10" i="14"/>
  <c r="B11" i="14"/>
  <c r="B22" i="14" s="1"/>
  <c r="B12" i="14"/>
  <c r="B13" i="14"/>
  <c r="B14" i="14"/>
  <c r="B15" i="14"/>
  <c r="B16" i="14"/>
  <c r="B17" i="14"/>
  <c r="B18" i="14"/>
  <c r="B19" i="14"/>
  <c r="B20" i="14"/>
  <c r="B21" i="14"/>
  <c r="B4" i="14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K22" i="13"/>
  <c r="V5" i="1" l="1"/>
  <c r="V6" i="1"/>
  <c r="E25" i="13"/>
  <c r="E26" i="13"/>
  <c r="E27" i="13"/>
  <c r="E29" i="13"/>
  <c r="E30" i="13"/>
  <c r="E24" i="13" l="1"/>
  <c r="E28" i="13"/>
  <c r="E23" i="13"/>
  <c r="S23" i="13" s="1"/>
  <c r="E22" i="13"/>
  <c r="S22" i="13" s="1"/>
  <c r="M24" i="13" l="1"/>
  <c r="S24" i="13"/>
  <c r="M28" i="13"/>
  <c r="S28" i="13"/>
  <c r="M26" i="13"/>
  <c r="S26" i="13"/>
  <c r="M25" i="13"/>
  <c r="S25" i="13"/>
  <c r="M29" i="13"/>
  <c r="S29" i="13"/>
  <c r="M30" i="13"/>
  <c r="S30" i="13"/>
  <c r="M27" i="13"/>
  <c r="S27" i="13"/>
  <c r="X33" i="4"/>
  <c r="C55" i="4" s="1"/>
  <c r="B55" i="4"/>
  <c r="Q15" i="13" l="1"/>
  <c r="K15" i="13"/>
  <c r="J23" i="14" l="1"/>
  <c r="J38" i="4"/>
  <c r="B33" i="1" s="1"/>
  <c r="B24" i="7"/>
  <c r="B24" i="5" l="1"/>
  <c r="B24" i="8"/>
  <c r="B24" i="9"/>
  <c r="B24" i="6"/>
  <c r="B24" i="10"/>
  <c r="R6" i="12" l="1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5" i="12"/>
  <c r="AB17" i="13" l="1"/>
  <c r="AB22" i="13"/>
  <c r="AB25" i="13" l="1"/>
  <c r="AB20" i="13"/>
  <c r="AB19" i="13"/>
  <c r="AB16" i="13"/>
  <c r="AB26" i="13"/>
  <c r="AB28" i="13"/>
  <c r="AB18" i="13"/>
  <c r="AB21" i="13"/>
  <c r="AB30" i="13"/>
  <c r="AB27" i="13"/>
  <c r="AB29" i="13"/>
  <c r="AB24" i="13"/>
  <c r="AB15" i="13"/>
  <c r="C22" i="14" l="1"/>
  <c r="E12" i="14" l="1"/>
  <c r="G12" i="14" s="1"/>
  <c r="E4" i="14"/>
  <c r="G4" i="14" s="1"/>
  <c r="E16" i="14"/>
  <c r="G16" i="14" s="1"/>
  <c r="E15" i="14"/>
  <c r="G15" i="14" s="1"/>
  <c r="E14" i="14"/>
  <c r="G14" i="14" s="1"/>
  <c r="E5" i="14"/>
  <c r="G5" i="14" s="1"/>
  <c r="E13" i="14"/>
  <c r="G13" i="14" s="1"/>
  <c r="E17" i="14"/>
  <c r="G17" i="14" s="1"/>
  <c r="E10" i="14"/>
  <c r="G10" i="14" s="1"/>
  <c r="E9" i="14"/>
  <c r="G9" i="14" s="1"/>
  <c r="E21" i="14"/>
  <c r="G21" i="14" s="1"/>
  <c r="E7" i="14"/>
  <c r="G7" i="14" s="1"/>
  <c r="E11" i="14"/>
  <c r="G11" i="14" s="1"/>
  <c r="E20" i="14"/>
  <c r="G20" i="14" s="1"/>
  <c r="E8" i="14"/>
  <c r="G8" i="14" s="1"/>
  <c r="E19" i="14"/>
  <c r="G19" i="14" s="1"/>
  <c r="E18" i="14"/>
  <c r="G18" i="14" s="1"/>
  <c r="E6" i="14"/>
  <c r="G6" i="14" s="1"/>
  <c r="D10" i="14" l="1"/>
  <c r="F10" i="14" s="1"/>
  <c r="H10" i="14" s="1"/>
  <c r="J10" i="14" s="1"/>
  <c r="D4" i="14"/>
  <c r="F4" i="14" s="1"/>
  <c r="G22" i="14"/>
  <c r="E22" i="14"/>
  <c r="D16" i="14"/>
  <c r="F16" i="14" s="1"/>
  <c r="H16" i="14" s="1"/>
  <c r="J16" i="14" s="1"/>
  <c r="D13" i="14"/>
  <c r="F13" i="14" s="1"/>
  <c r="H13" i="14" s="1"/>
  <c r="J13" i="14" s="1"/>
  <c r="D17" i="14"/>
  <c r="F17" i="14" s="1"/>
  <c r="H17" i="14" s="1"/>
  <c r="J17" i="14" s="1"/>
  <c r="D18" i="14"/>
  <c r="F18" i="14" s="1"/>
  <c r="H18" i="14" s="1"/>
  <c r="J18" i="14" s="1"/>
  <c r="D9" i="14"/>
  <c r="F9" i="14" s="1"/>
  <c r="H9" i="14" s="1"/>
  <c r="J9" i="14" s="1"/>
  <c r="D7" i="14"/>
  <c r="F7" i="14" s="1"/>
  <c r="H7" i="14" s="1"/>
  <c r="J7" i="14" s="1"/>
  <c r="D6" i="14"/>
  <c r="F6" i="14" s="1"/>
  <c r="H6" i="14" s="1"/>
  <c r="J6" i="14" s="1"/>
  <c r="D8" i="14"/>
  <c r="F8" i="14" s="1"/>
  <c r="H8" i="14" s="1"/>
  <c r="J8" i="14" s="1"/>
  <c r="D5" i="14"/>
  <c r="F5" i="14" s="1"/>
  <c r="H5" i="14" s="1"/>
  <c r="J5" i="14" s="1"/>
  <c r="D12" i="14"/>
  <c r="F12" i="14" s="1"/>
  <c r="H12" i="14" s="1"/>
  <c r="J12" i="14" s="1"/>
  <c r="D14" i="14"/>
  <c r="F14" i="14" s="1"/>
  <c r="H14" i="14" s="1"/>
  <c r="J14" i="14" s="1"/>
  <c r="D15" i="14"/>
  <c r="F15" i="14" s="1"/>
  <c r="H15" i="14" s="1"/>
  <c r="J15" i="14" s="1"/>
  <c r="D21" i="14"/>
  <c r="F21" i="14" s="1"/>
  <c r="H21" i="14" s="1"/>
  <c r="J21" i="14" s="1"/>
  <c r="D19" i="14"/>
  <c r="F19" i="14" s="1"/>
  <c r="H19" i="14" s="1"/>
  <c r="J19" i="14" s="1"/>
  <c r="D20" i="14"/>
  <c r="F20" i="14" s="1"/>
  <c r="H20" i="14" s="1"/>
  <c r="J20" i="14" s="1"/>
  <c r="D11" i="14"/>
  <c r="F11" i="14" s="1"/>
  <c r="H11" i="14" s="1"/>
  <c r="J11" i="14" s="1"/>
  <c r="S31" i="13"/>
  <c r="S32" i="13"/>
  <c r="N33" i="13"/>
  <c r="O33" i="13"/>
  <c r="P33" i="13"/>
  <c r="Q20" i="13"/>
  <c r="Q19" i="13"/>
  <c r="Q18" i="13"/>
  <c r="Q16" i="13"/>
  <c r="Q21" i="13"/>
  <c r="Q31" i="13"/>
  <c r="Q17" i="13"/>
  <c r="Q32" i="13"/>
  <c r="M31" i="13"/>
  <c r="M32" i="13"/>
  <c r="H31" i="13"/>
  <c r="H32" i="13"/>
  <c r="T32" i="13" l="1"/>
  <c r="F22" i="14"/>
  <c r="H4" i="14"/>
  <c r="J4" i="14" s="1"/>
  <c r="T31" i="13"/>
  <c r="Q33" i="13"/>
  <c r="D22" i="14"/>
  <c r="K20" i="13"/>
  <c r="K19" i="13"/>
  <c r="K18" i="13"/>
  <c r="K16" i="13"/>
  <c r="K21" i="13"/>
  <c r="K17" i="13"/>
  <c r="R18" i="13" l="1"/>
  <c r="R22" i="13"/>
  <c r="R21" i="13"/>
  <c r="R20" i="13"/>
  <c r="R19" i="13"/>
  <c r="R16" i="13"/>
  <c r="R15" i="13"/>
  <c r="R17" i="13"/>
  <c r="H22" i="14"/>
  <c r="J22" i="14" s="1"/>
  <c r="K33" i="13"/>
  <c r="H24" i="13"/>
  <c r="F26" i="13"/>
  <c r="E21" i="13"/>
  <c r="E18" i="13"/>
  <c r="E15" i="13"/>
  <c r="F15" i="13" s="1"/>
  <c r="E16" i="13"/>
  <c r="E17" i="13"/>
  <c r="S17" i="13" s="1"/>
  <c r="E19" i="13"/>
  <c r="E20" i="13"/>
  <c r="S20" i="13" s="1"/>
  <c r="L22" i="13" l="1"/>
  <c r="S15" i="13"/>
  <c r="R31" i="13"/>
  <c r="R32" i="13"/>
  <c r="L15" i="13"/>
  <c r="L16" i="13"/>
  <c r="L19" i="13"/>
  <c r="L21" i="13"/>
  <c r="L18" i="13"/>
  <c r="L20" i="13"/>
  <c r="M17" i="13"/>
  <c r="M23" i="13"/>
  <c r="S19" i="13"/>
  <c r="M19" i="13"/>
  <c r="F24" i="13"/>
  <c r="M15" i="13"/>
  <c r="S18" i="13"/>
  <c r="M18" i="13"/>
  <c r="F28" i="13"/>
  <c r="M20" i="13"/>
  <c r="H28" i="13"/>
  <c r="L31" i="13"/>
  <c r="L32" i="13"/>
  <c r="M22" i="13"/>
  <c r="H26" i="13"/>
  <c r="F23" i="13"/>
  <c r="S21" i="13"/>
  <c r="M21" i="13"/>
  <c r="S16" i="13"/>
  <c r="M16" i="13"/>
  <c r="L17" i="13"/>
  <c r="H25" i="13"/>
  <c r="F25" i="13"/>
  <c r="F22" i="13"/>
  <c r="H22" i="13" s="1"/>
  <c r="F19" i="13"/>
  <c r="H30" i="13"/>
  <c r="F30" i="13"/>
  <c r="F29" i="13"/>
  <c r="H29" i="13"/>
  <c r="H27" i="13"/>
  <c r="F27" i="13"/>
  <c r="H15" i="13"/>
  <c r="F20" i="13"/>
  <c r="F17" i="13"/>
  <c r="F18" i="13"/>
  <c r="F16" i="13"/>
  <c r="F21" i="13"/>
  <c r="T15" i="13" l="1"/>
  <c r="R33" i="13"/>
  <c r="S33" i="13"/>
  <c r="H21" i="13"/>
  <c r="T21" i="13" s="1"/>
  <c r="H20" i="13"/>
  <c r="H19" i="13"/>
  <c r="H18" i="13"/>
  <c r="H23" i="13"/>
  <c r="T24" i="13"/>
  <c r="T22" i="13"/>
  <c r="T25" i="13"/>
  <c r="T27" i="13"/>
  <c r="T29" i="13"/>
  <c r="T28" i="13"/>
  <c r="T26" i="13"/>
  <c r="T30" i="13"/>
  <c r="F33" i="13"/>
  <c r="G25" i="13" s="1"/>
  <c r="H17" i="13"/>
  <c r="H16" i="13"/>
  <c r="G23" i="13" l="1"/>
  <c r="T19" i="13"/>
  <c r="T16" i="13"/>
  <c r="T20" i="13"/>
  <c r="T17" i="13"/>
  <c r="T23" i="13"/>
  <c r="T18" i="13"/>
  <c r="G20" i="13"/>
  <c r="G16" i="13"/>
  <c r="G19" i="13"/>
  <c r="G21" i="13"/>
  <c r="G18" i="13"/>
  <c r="G27" i="13"/>
  <c r="G29" i="13"/>
  <c r="G15" i="13"/>
  <c r="G17" i="13"/>
  <c r="G22" i="13"/>
  <c r="G30" i="13"/>
  <c r="G31" i="13"/>
  <c r="G32" i="13"/>
  <c r="G28" i="13"/>
  <c r="G24" i="13"/>
  <c r="G26" i="13"/>
  <c r="T33" i="13" l="1"/>
  <c r="U30" i="13" s="1"/>
  <c r="G33" i="13"/>
  <c r="U26" i="13" l="1"/>
  <c r="U18" i="13"/>
  <c r="U32" i="13"/>
  <c r="U24" i="13"/>
  <c r="U20" i="13"/>
  <c r="U28" i="13"/>
  <c r="U25" i="13"/>
  <c r="U15" i="13"/>
  <c r="U29" i="13"/>
  <c r="U19" i="13"/>
  <c r="U22" i="13"/>
  <c r="U31" i="13"/>
  <c r="U17" i="13"/>
  <c r="U27" i="13"/>
  <c r="U21" i="13"/>
  <c r="U23" i="13"/>
  <c r="V23" i="13" s="1"/>
  <c r="U16" i="13"/>
  <c r="G5" i="12"/>
  <c r="U33" i="13" l="1"/>
  <c r="G6" i="12"/>
  <c r="G14" i="12"/>
  <c r="G20" i="12"/>
  <c r="G7" i="12"/>
  <c r="G8" i="12"/>
  <c r="G18" i="12"/>
  <c r="G9" i="12"/>
  <c r="G16" i="12"/>
  <c r="G15" i="12"/>
  <c r="D23" i="12"/>
  <c r="E15" i="12" l="1"/>
  <c r="E9" i="12"/>
  <c r="E16" i="12"/>
  <c r="E13" i="12"/>
  <c r="E23" i="12"/>
  <c r="E17" i="12"/>
  <c r="E6" i="12"/>
  <c r="E18" i="12"/>
  <c r="E21" i="12"/>
  <c r="E22" i="12"/>
  <c r="E7" i="12"/>
  <c r="E19" i="12"/>
  <c r="E11" i="12"/>
  <c r="E8" i="12"/>
  <c r="E20" i="12"/>
  <c r="E10" i="12"/>
  <c r="E12" i="12"/>
  <c r="E14" i="12"/>
  <c r="E5" i="12"/>
  <c r="G11" i="12"/>
  <c r="G19" i="12"/>
  <c r="G21" i="12"/>
  <c r="G13" i="12"/>
  <c r="G10" i="12"/>
  <c r="G22" i="12"/>
  <c r="G17" i="12"/>
  <c r="G12" i="12"/>
  <c r="F23" i="12"/>
  <c r="G23" i="12" l="1"/>
  <c r="G24" i="12"/>
  <c r="H16" i="12" l="1"/>
  <c r="I16" i="12" s="1"/>
  <c r="H17" i="12"/>
  <c r="I17" i="12" s="1"/>
  <c r="H7" i="12"/>
  <c r="I7" i="12" s="1"/>
  <c r="H22" i="12"/>
  <c r="I22" i="12" s="1"/>
  <c r="H6" i="12"/>
  <c r="I6" i="12" s="1"/>
  <c r="H18" i="12"/>
  <c r="I18" i="12" s="1"/>
  <c r="H19" i="12"/>
  <c r="I19" i="12" s="1"/>
  <c r="H9" i="12"/>
  <c r="I9" i="12" s="1"/>
  <c r="H8" i="12"/>
  <c r="I8" i="12" s="1"/>
  <c r="H20" i="12"/>
  <c r="I20" i="12" s="1"/>
  <c r="H21" i="12"/>
  <c r="I21" i="12" s="1"/>
  <c r="H10" i="12"/>
  <c r="I10" i="12" s="1"/>
  <c r="H13" i="12"/>
  <c r="I13" i="12" s="1"/>
  <c r="H11" i="12"/>
  <c r="I11" i="12" s="1"/>
  <c r="H5" i="12"/>
  <c r="I5" i="12" s="1"/>
  <c r="H12" i="12"/>
  <c r="I12" i="12" s="1"/>
  <c r="H15" i="12"/>
  <c r="I15" i="12" s="1"/>
  <c r="H14" i="12"/>
  <c r="I14" i="12" s="1"/>
  <c r="I23" i="12" l="1"/>
  <c r="J21" i="12" s="1"/>
  <c r="K21" i="12" s="1"/>
  <c r="J12" i="12" l="1"/>
  <c r="K12" i="12" s="1"/>
  <c r="J6" i="12"/>
  <c r="K6" i="12" s="1"/>
  <c r="J15" i="12"/>
  <c r="K15" i="12" s="1"/>
  <c r="J16" i="12"/>
  <c r="K16" i="12" s="1"/>
  <c r="J18" i="12"/>
  <c r="K18" i="12" s="1"/>
  <c r="J10" i="12"/>
  <c r="K10" i="12" s="1"/>
  <c r="J13" i="12"/>
  <c r="K13" i="12" s="1"/>
  <c r="J14" i="12"/>
  <c r="K14" i="12" s="1"/>
  <c r="J22" i="12"/>
  <c r="K22" i="12" s="1"/>
  <c r="J17" i="12"/>
  <c r="K17" i="12" s="1"/>
  <c r="J19" i="12"/>
  <c r="K19" i="12" s="1"/>
  <c r="J7" i="12"/>
  <c r="K7" i="12" s="1"/>
  <c r="J9" i="12"/>
  <c r="K9" i="12" s="1"/>
  <c r="J11" i="12"/>
  <c r="K11" i="12" s="1"/>
  <c r="J20" i="12"/>
  <c r="K20" i="12" s="1"/>
  <c r="J8" i="12"/>
  <c r="K8" i="12" s="1"/>
  <c r="J5" i="12"/>
  <c r="K5" i="12" s="1"/>
  <c r="K23" i="12" l="1"/>
  <c r="J23" i="12"/>
  <c r="C21" i="7" l="1"/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5" i="1"/>
  <c r="X2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C20" i="2" l="1"/>
  <c r="C21" i="3" s="1"/>
  <c r="C21" i="2"/>
  <c r="C22" i="3" s="1"/>
  <c r="B20" i="2"/>
  <c r="B21" i="2"/>
  <c r="A20" i="2"/>
  <c r="A21" i="3" s="1"/>
  <c r="A21" i="2"/>
  <c r="A22" i="3" s="1"/>
  <c r="O22" i="3" l="1"/>
  <c r="Z22" i="3" s="1" a="1"/>
  <c r="Z22" i="3" s="1"/>
  <c r="K22" i="3"/>
  <c r="P22" i="3"/>
  <c r="O21" i="3"/>
  <c r="Z21" i="3" s="1" a="1"/>
  <c r="Z21" i="3" s="1"/>
  <c r="B22" i="3"/>
  <c r="B21" i="3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G3" i="6"/>
  <c r="C19" i="2"/>
  <c r="C20" i="3" s="1"/>
  <c r="B19" i="2"/>
  <c r="A19" i="2"/>
  <c r="A20" i="3" s="1"/>
  <c r="A30" i="4" s="1"/>
  <c r="C18" i="2"/>
  <c r="C19" i="3" s="1"/>
  <c r="B18" i="2"/>
  <c r="A18" i="2"/>
  <c r="A19" i="3" s="1"/>
  <c r="C17" i="2"/>
  <c r="C18" i="3" s="1"/>
  <c r="B17" i="2"/>
  <c r="A17" i="2"/>
  <c r="A18" i="3" s="1"/>
  <c r="C16" i="2"/>
  <c r="C17" i="3" s="1"/>
  <c r="B16" i="2"/>
  <c r="A16" i="2"/>
  <c r="A17" i="3" s="1"/>
  <c r="C15" i="2"/>
  <c r="C16" i="3" s="1"/>
  <c r="B15" i="2"/>
  <c r="A15" i="2"/>
  <c r="A16" i="3" s="1"/>
  <c r="C14" i="2"/>
  <c r="C15" i="3" s="1"/>
  <c r="C25" i="4" s="1"/>
  <c r="B14" i="2"/>
  <c r="A14" i="2"/>
  <c r="A15" i="3" s="1"/>
  <c r="C13" i="2"/>
  <c r="C14" i="3" s="1"/>
  <c r="B13" i="2"/>
  <c r="A13" i="2"/>
  <c r="A14" i="3" s="1"/>
  <c r="A24" i="4" s="1"/>
  <c r="C12" i="2"/>
  <c r="C13" i="3" s="1"/>
  <c r="C23" i="4" s="1"/>
  <c r="B12" i="2"/>
  <c r="A12" i="2"/>
  <c r="A13" i="3" s="1"/>
  <c r="A23" i="4" s="1"/>
  <c r="C11" i="2"/>
  <c r="C12" i="3" s="1"/>
  <c r="B11" i="2"/>
  <c r="A11" i="2"/>
  <c r="A12" i="3" s="1"/>
  <c r="A22" i="4" s="1"/>
  <c r="C10" i="2"/>
  <c r="C11" i="3" s="1"/>
  <c r="B10" i="2"/>
  <c r="A10" i="2"/>
  <c r="A11" i="3" s="1"/>
  <c r="C9" i="2"/>
  <c r="C10" i="3" s="1"/>
  <c r="C20" i="4" s="1"/>
  <c r="B9" i="2"/>
  <c r="A9" i="2"/>
  <c r="A10" i="3" s="1"/>
  <c r="A20" i="4" s="1"/>
  <c r="C8" i="2"/>
  <c r="C9" i="3" s="1"/>
  <c r="B8" i="2"/>
  <c r="A8" i="2"/>
  <c r="A9" i="3" s="1"/>
  <c r="C7" i="2"/>
  <c r="C8" i="3" s="1"/>
  <c r="B7" i="2"/>
  <c r="A7" i="2"/>
  <c r="A8" i="3" s="1"/>
  <c r="C6" i="2"/>
  <c r="C7" i="3" s="1"/>
  <c r="C17" i="4" s="1"/>
  <c r="B6" i="2"/>
  <c r="A6" i="2"/>
  <c r="A7" i="3" s="1"/>
  <c r="C5" i="2"/>
  <c r="C6" i="3" s="1"/>
  <c r="C16" i="4" s="1"/>
  <c r="B5" i="2"/>
  <c r="A5" i="2"/>
  <c r="A6" i="3" s="1"/>
  <c r="C4" i="2"/>
  <c r="C5" i="3" s="1"/>
  <c r="B4" i="2"/>
  <c r="A4" i="2"/>
  <c r="A5" i="3" s="1"/>
  <c r="D38" i="4"/>
  <c r="V33" i="4"/>
  <c r="G33" i="4"/>
  <c r="F38" i="4" s="1"/>
  <c r="E33" i="4"/>
  <c r="AC32" i="4"/>
  <c r="F32" i="4"/>
  <c r="AC31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K21" i="3" l="1"/>
  <c r="F22" i="3"/>
  <c r="I21" i="3"/>
  <c r="L22" i="3"/>
  <c r="P21" i="3"/>
  <c r="J22" i="3"/>
  <c r="M22" i="3"/>
  <c r="O8" i="3"/>
  <c r="O15" i="3"/>
  <c r="O5" i="3"/>
  <c r="P13" i="3"/>
  <c r="O16" i="3"/>
  <c r="O20" i="3"/>
  <c r="O10" i="3"/>
  <c r="P14" i="3"/>
  <c r="K8" i="3"/>
  <c r="G22" i="3"/>
  <c r="L21" i="3"/>
  <c r="F21" i="3"/>
  <c r="AA22" i="3" a="1"/>
  <c r="AA22" i="3" s="1"/>
  <c r="N21" i="3"/>
  <c r="H22" i="3"/>
  <c r="I22" i="3"/>
  <c r="G21" i="3"/>
  <c r="AA21" i="3" a="1"/>
  <c r="AA21" i="3" s="1"/>
  <c r="A26" i="4"/>
  <c r="M21" i="3"/>
  <c r="W22" i="1"/>
  <c r="H21" i="3"/>
  <c r="N22" i="3"/>
  <c r="J21" i="3"/>
  <c r="W21" i="1"/>
  <c r="C21" i="6"/>
  <c r="I7" i="6"/>
  <c r="F33" i="4"/>
  <c r="E38" i="4" s="1"/>
  <c r="B44" i="4" s="1"/>
  <c r="B46" i="4" s="1"/>
  <c r="C27" i="4"/>
  <c r="A17" i="4"/>
  <c r="A21" i="4"/>
  <c r="C24" i="4"/>
  <c r="A29" i="4"/>
  <c r="C19" i="4"/>
  <c r="A28" i="4"/>
  <c r="A15" i="4"/>
  <c r="C29" i="4"/>
  <c r="C21" i="4"/>
  <c r="A25" i="4"/>
  <c r="A27" i="4"/>
  <c r="C28" i="4"/>
  <c r="A19" i="4"/>
  <c r="C15" i="4"/>
  <c r="A18" i="4"/>
  <c r="B11" i="3"/>
  <c r="B21" i="4" s="1"/>
  <c r="B12" i="3"/>
  <c r="B22" i="4" s="1"/>
  <c r="B13" i="3"/>
  <c r="B23" i="4" s="1"/>
  <c r="B5" i="3"/>
  <c r="B6" i="3"/>
  <c r="B16" i="4" s="1"/>
  <c r="B7" i="3"/>
  <c r="B17" i="4" s="1"/>
  <c r="B8" i="3"/>
  <c r="B18" i="4" s="1"/>
  <c r="B9" i="3"/>
  <c r="B19" i="4" s="1"/>
  <c r="B15" i="3"/>
  <c r="B25" i="4" s="1"/>
  <c r="B16" i="3"/>
  <c r="B26" i="4" s="1"/>
  <c r="B17" i="3"/>
  <c r="B27" i="4" s="1"/>
  <c r="B19" i="3"/>
  <c r="B29" i="4" s="1"/>
  <c r="B10" i="3"/>
  <c r="B20" i="4" s="1"/>
  <c r="B14" i="3"/>
  <c r="B24" i="4" s="1"/>
  <c r="B18" i="3"/>
  <c r="B28" i="4" s="1"/>
  <c r="B20" i="3"/>
  <c r="B30" i="4" s="1"/>
  <c r="F3" i="6"/>
  <c r="F21" i="6" s="1"/>
  <c r="A16" i="4"/>
  <c r="C18" i="4"/>
  <c r="C26" i="4"/>
  <c r="C22" i="4"/>
  <c r="C30" i="4"/>
  <c r="I11" i="6"/>
  <c r="I19" i="6"/>
  <c r="I10" i="6"/>
  <c r="I18" i="6"/>
  <c r="I4" i="6"/>
  <c r="I5" i="6"/>
  <c r="I12" i="6"/>
  <c r="I13" i="6"/>
  <c r="I15" i="6"/>
  <c r="I20" i="6"/>
  <c r="W5" i="1"/>
  <c r="G21" i="6"/>
  <c r="C21" i="5"/>
  <c r="D7" i="5" s="1"/>
  <c r="H3" i="6"/>
  <c r="H21" i="6" s="1"/>
  <c r="E21" i="6"/>
  <c r="I6" i="6"/>
  <c r="I8" i="6"/>
  <c r="I9" i="6"/>
  <c r="C21" i="9"/>
  <c r="D7" i="9" s="1"/>
  <c r="C21" i="10"/>
  <c r="D13" i="10" s="1"/>
  <c r="I14" i="6"/>
  <c r="I16" i="6"/>
  <c r="I17" i="6"/>
  <c r="D15" i="7"/>
  <c r="D21" i="6"/>
  <c r="K7" i="3" l="1"/>
  <c r="O7" i="3"/>
  <c r="AC16" i="4"/>
  <c r="O14" i="3"/>
  <c r="O6" i="3"/>
  <c r="O12" i="3"/>
  <c r="O11" i="3"/>
  <c r="O13" i="3"/>
  <c r="O19" i="3"/>
  <c r="O17" i="3"/>
  <c r="O9" i="3"/>
  <c r="O18" i="3"/>
  <c r="Z18" i="3" s="1" a="1"/>
  <c r="Z18" i="3" s="1"/>
  <c r="P12" i="3"/>
  <c r="P18" i="3"/>
  <c r="P10" i="3"/>
  <c r="P7" i="3"/>
  <c r="P16" i="3"/>
  <c r="N5" i="3"/>
  <c r="P19" i="3"/>
  <c r="P5" i="3"/>
  <c r="P6" i="3"/>
  <c r="P17" i="3"/>
  <c r="P8" i="3"/>
  <c r="F18" i="3"/>
  <c r="N6" i="3"/>
  <c r="P11" i="3"/>
  <c r="P20" i="3"/>
  <c r="P9" i="3"/>
  <c r="M5" i="3"/>
  <c r="P15" i="3"/>
  <c r="AA15" i="3" s="1" a="1"/>
  <c r="AA15" i="3" s="1"/>
  <c r="I38" i="4"/>
  <c r="K38" i="4" s="1"/>
  <c r="B29" i="12" s="1"/>
  <c r="B49" i="4"/>
  <c r="Y21" i="1"/>
  <c r="Z21" i="1" s="1"/>
  <c r="Y22" i="1"/>
  <c r="D21" i="2" s="1"/>
  <c r="D22" i="3" s="1"/>
  <c r="E22" i="3" s="1"/>
  <c r="K9" i="3"/>
  <c r="K10" i="3"/>
  <c r="K17" i="3"/>
  <c r="K14" i="3"/>
  <c r="K16" i="3"/>
  <c r="K19" i="3"/>
  <c r="K5" i="3"/>
  <c r="K12" i="3"/>
  <c r="K6" i="3"/>
  <c r="K11" i="3"/>
  <c r="K18" i="3"/>
  <c r="K20" i="3"/>
  <c r="K15" i="3"/>
  <c r="K13" i="3"/>
  <c r="E15" i="7"/>
  <c r="F17" i="19" s="1"/>
  <c r="E7" i="9"/>
  <c r="H9" i="19" s="1"/>
  <c r="E13" i="10"/>
  <c r="I15" i="19" s="1"/>
  <c r="M12" i="3"/>
  <c r="AC30" i="4"/>
  <c r="AC29" i="4"/>
  <c r="AC21" i="4"/>
  <c r="AC22" i="4"/>
  <c r="AC28" i="4"/>
  <c r="AC27" i="4"/>
  <c r="AC24" i="4"/>
  <c r="AC18" i="4"/>
  <c r="E7" i="5"/>
  <c r="D9" i="19" s="1"/>
  <c r="M15" i="3"/>
  <c r="M11" i="3"/>
  <c r="I7" i="3"/>
  <c r="G12" i="3"/>
  <c r="M14" i="3"/>
  <c r="L15" i="3"/>
  <c r="M8" i="3"/>
  <c r="M19" i="3"/>
  <c r="J12" i="3"/>
  <c r="V23" i="1"/>
  <c r="W18" i="1"/>
  <c r="W20" i="1"/>
  <c r="I8" i="3"/>
  <c r="L7" i="3"/>
  <c r="F5" i="3"/>
  <c r="G7" i="3"/>
  <c r="L12" i="3"/>
  <c r="D6" i="9"/>
  <c r="I6" i="3"/>
  <c r="G9" i="3"/>
  <c r="I5" i="3"/>
  <c r="G16" i="3"/>
  <c r="N13" i="3"/>
  <c r="L5" i="3"/>
  <c r="M7" i="3"/>
  <c r="L13" i="3"/>
  <c r="W8" i="1"/>
  <c r="I12" i="3"/>
  <c r="J9" i="3"/>
  <c r="J11" i="3"/>
  <c r="W19" i="1"/>
  <c r="D16" i="10"/>
  <c r="W14" i="1"/>
  <c r="W10" i="1"/>
  <c r="D20" i="10"/>
  <c r="D8" i="10"/>
  <c r="D19" i="9"/>
  <c r="D4" i="10"/>
  <c r="D15" i="5"/>
  <c r="E15" i="5" s="1"/>
  <c r="D17" i="19" s="1"/>
  <c r="I10" i="3"/>
  <c r="J6" i="3"/>
  <c r="J18" i="3"/>
  <c r="I18" i="3"/>
  <c r="N9" i="3"/>
  <c r="W6" i="1"/>
  <c r="Z20" i="3" a="1"/>
  <c r="Z20" i="3" s="1"/>
  <c r="I16" i="3"/>
  <c r="D11" i="10"/>
  <c r="J20" i="3"/>
  <c r="G5" i="3"/>
  <c r="J5" i="3"/>
  <c r="G14" i="3"/>
  <c r="W16" i="1"/>
  <c r="W12" i="1"/>
  <c r="G6" i="3"/>
  <c r="J13" i="3"/>
  <c r="I9" i="3"/>
  <c r="M10" i="3"/>
  <c r="F9" i="3"/>
  <c r="J10" i="3"/>
  <c r="L10" i="3"/>
  <c r="G8" i="3"/>
  <c r="L14" i="3"/>
  <c r="AA14" i="3" a="1"/>
  <c r="AA14" i="3" s="1"/>
  <c r="AC19" i="4"/>
  <c r="AC17" i="4"/>
  <c r="G20" i="3"/>
  <c r="M13" i="3"/>
  <c r="F13" i="3"/>
  <c r="F14" i="3"/>
  <c r="H20" i="3"/>
  <c r="H16" i="3"/>
  <c r="J8" i="3"/>
  <c r="H8" i="3"/>
  <c r="N12" i="3"/>
  <c r="F16" i="3"/>
  <c r="F12" i="3"/>
  <c r="L18" i="3"/>
  <c r="L8" i="3"/>
  <c r="H12" i="3"/>
  <c r="G11" i="3"/>
  <c r="L9" i="3"/>
  <c r="L16" i="3"/>
  <c r="M17" i="3"/>
  <c r="J7" i="3"/>
  <c r="H17" i="3"/>
  <c r="H11" i="3"/>
  <c r="H7" i="3"/>
  <c r="J17" i="3"/>
  <c r="F8" i="3"/>
  <c r="N11" i="3"/>
  <c r="F6" i="3"/>
  <c r="H18" i="3"/>
  <c r="I20" i="3"/>
  <c r="I14" i="3"/>
  <c r="L20" i="3"/>
  <c r="N17" i="3"/>
  <c r="M6" i="3"/>
  <c r="I17" i="3"/>
  <c r="AC26" i="4"/>
  <c r="I11" i="3"/>
  <c r="F15" i="3"/>
  <c r="N7" i="3"/>
  <c r="L19" i="3"/>
  <c r="M18" i="3"/>
  <c r="G15" i="3"/>
  <c r="I19" i="3"/>
  <c r="N15" i="3"/>
  <c r="H9" i="3"/>
  <c r="H15" i="3"/>
  <c r="G17" i="3"/>
  <c r="F7" i="3"/>
  <c r="F10" i="3"/>
  <c r="L6" i="3"/>
  <c r="J16" i="3"/>
  <c r="H6" i="3"/>
  <c r="J15" i="3"/>
  <c r="N8" i="3"/>
  <c r="L11" i="3"/>
  <c r="G13" i="3"/>
  <c r="AC25" i="4"/>
  <c r="N10" i="3"/>
  <c r="H10" i="3"/>
  <c r="I13" i="3"/>
  <c r="F11" i="3"/>
  <c r="AA13" i="3" a="1"/>
  <c r="AA13" i="3" s="1"/>
  <c r="M16" i="3"/>
  <c r="L17" i="3"/>
  <c r="H5" i="3"/>
  <c r="I15" i="3"/>
  <c r="M9" i="3"/>
  <c r="H13" i="3"/>
  <c r="F17" i="3"/>
  <c r="F20" i="3"/>
  <c r="N18" i="3"/>
  <c r="N14" i="3"/>
  <c r="G18" i="3"/>
  <c r="J14" i="3"/>
  <c r="Z15" i="3" a="1"/>
  <c r="Z15" i="3" s="1"/>
  <c r="H14" i="3"/>
  <c r="G10" i="3"/>
  <c r="F19" i="3"/>
  <c r="N16" i="3"/>
  <c r="AC20" i="4"/>
  <c r="AC23" i="4"/>
  <c r="N20" i="3"/>
  <c r="H19" i="3"/>
  <c r="G19" i="3"/>
  <c r="J19" i="3"/>
  <c r="N19" i="3"/>
  <c r="M20" i="3"/>
  <c r="B15" i="4"/>
  <c r="W17" i="1"/>
  <c r="W11" i="1"/>
  <c r="D18" i="5"/>
  <c r="E18" i="5" s="1"/>
  <c r="D20" i="19" s="1"/>
  <c r="D13" i="5"/>
  <c r="E13" i="5" s="1"/>
  <c r="D15" i="19" s="1"/>
  <c r="D19" i="5"/>
  <c r="E19" i="5" s="1"/>
  <c r="D21" i="19" s="1"/>
  <c r="I3" i="6"/>
  <c r="I21" i="6" s="1"/>
  <c r="J8" i="6" s="1"/>
  <c r="D14" i="5"/>
  <c r="E14" i="5" s="1"/>
  <c r="D16" i="19" s="1"/>
  <c r="D10" i="5"/>
  <c r="E10" i="5" s="1"/>
  <c r="D12" i="19" s="1"/>
  <c r="D3" i="5"/>
  <c r="E3" i="5" s="1"/>
  <c r="D5" i="19" s="1"/>
  <c r="D6" i="5"/>
  <c r="E6" i="5" s="1"/>
  <c r="D8" i="19" s="1"/>
  <c r="W15" i="1"/>
  <c r="W9" i="1"/>
  <c r="W13" i="1"/>
  <c r="D18" i="9"/>
  <c r="W7" i="1"/>
  <c r="D5" i="7"/>
  <c r="D11" i="9"/>
  <c r="D7" i="7"/>
  <c r="D10" i="9"/>
  <c r="D14" i="9"/>
  <c r="D3" i="9"/>
  <c r="D16" i="7"/>
  <c r="D19" i="7"/>
  <c r="D18" i="10"/>
  <c r="D10" i="10"/>
  <c r="D14" i="10"/>
  <c r="D6" i="10"/>
  <c r="D20" i="7"/>
  <c r="D4" i="7"/>
  <c r="D15" i="10"/>
  <c r="D17" i="7"/>
  <c r="D8" i="7"/>
  <c r="D17" i="5"/>
  <c r="E17" i="5" s="1"/>
  <c r="D19" i="19" s="1"/>
  <c r="D9" i="5"/>
  <c r="E9" i="5" s="1"/>
  <c r="D11" i="19" s="1"/>
  <c r="D20" i="5"/>
  <c r="E20" i="5" s="1"/>
  <c r="D22" i="19" s="1"/>
  <c r="D12" i="5"/>
  <c r="E12" i="5" s="1"/>
  <c r="D14" i="19" s="1"/>
  <c r="D4" i="5"/>
  <c r="E4" i="5" s="1"/>
  <c r="D6" i="19" s="1"/>
  <c r="D16" i="5"/>
  <c r="E16" i="5" s="1"/>
  <c r="D18" i="19" s="1"/>
  <c r="D8" i="5"/>
  <c r="E8" i="5" s="1"/>
  <c r="D10" i="19" s="1"/>
  <c r="D5" i="5"/>
  <c r="E5" i="5" s="1"/>
  <c r="D7" i="19" s="1"/>
  <c r="D11" i="7"/>
  <c r="D12" i="10"/>
  <c r="D18" i="7"/>
  <c r="D10" i="7"/>
  <c r="D14" i="7"/>
  <c r="D6" i="7"/>
  <c r="D9" i="7"/>
  <c r="D17" i="10"/>
  <c r="D3" i="7"/>
  <c r="D19" i="10"/>
  <c r="D3" i="10"/>
  <c r="D13" i="7"/>
  <c r="D5" i="10"/>
  <c r="D17" i="9"/>
  <c r="D13" i="9"/>
  <c r="D9" i="9"/>
  <c r="D5" i="9"/>
  <c r="D16" i="9"/>
  <c r="D8" i="9"/>
  <c r="D20" i="9"/>
  <c r="D4" i="9"/>
  <c r="D12" i="9"/>
  <c r="D12" i="7"/>
  <c r="D7" i="10"/>
  <c r="D15" i="9"/>
  <c r="D11" i="5"/>
  <c r="E11" i="5" s="1"/>
  <c r="D13" i="19" s="1"/>
  <c r="D9" i="10"/>
  <c r="K23" i="3" l="1"/>
  <c r="O23" i="3"/>
  <c r="J23" i="3"/>
  <c r="I23" i="3"/>
  <c r="P23" i="3"/>
  <c r="N23" i="3"/>
  <c r="L23" i="3"/>
  <c r="F23" i="3"/>
  <c r="H23" i="3"/>
  <c r="G23" i="3"/>
  <c r="M23" i="3"/>
  <c r="D23" i="19"/>
  <c r="AC15" i="4"/>
  <c r="D21" i="8"/>
  <c r="O33" i="4"/>
  <c r="Q33" i="4"/>
  <c r="C54" i="4" s="1"/>
  <c r="P33" i="4"/>
  <c r="B54" i="4" s="1"/>
  <c r="B33" i="12"/>
  <c r="B32" i="12"/>
  <c r="B31" i="12"/>
  <c r="B30" i="12"/>
  <c r="E8" i="9"/>
  <c r="H10" i="19" s="1"/>
  <c r="E10" i="9"/>
  <c r="H12" i="19" s="1"/>
  <c r="E6" i="9"/>
  <c r="H8" i="19" s="1"/>
  <c r="E13" i="9"/>
  <c r="H15" i="19" s="1"/>
  <c r="D20" i="2"/>
  <c r="D21" i="3" s="1"/>
  <c r="E21" i="3" s="1"/>
  <c r="E13" i="7"/>
  <c r="F15" i="19" s="1"/>
  <c r="E10" i="7"/>
  <c r="F12" i="19" s="1"/>
  <c r="E8" i="7"/>
  <c r="F10" i="19" s="1"/>
  <c r="E9" i="10"/>
  <c r="I11" i="19" s="1"/>
  <c r="E6" i="10"/>
  <c r="I8" i="19" s="1"/>
  <c r="E12" i="9"/>
  <c r="H14" i="19" s="1"/>
  <c r="E16" i="9"/>
  <c r="H18" i="19" s="1"/>
  <c r="E17" i="9"/>
  <c r="H19" i="19" s="1"/>
  <c r="E18" i="9"/>
  <c r="H20" i="19" s="1"/>
  <c r="E12" i="7"/>
  <c r="F14" i="19" s="1"/>
  <c r="E9" i="7"/>
  <c r="F11" i="19" s="1"/>
  <c r="E6" i="7"/>
  <c r="F8" i="19" s="1"/>
  <c r="E7" i="7"/>
  <c r="F9" i="19" s="1"/>
  <c r="E18" i="7"/>
  <c r="F20" i="19" s="1"/>
  <c r="E17" i="7"/>
  <c r="F19" i="19" s="1"/>
  <c r="E14" i="7"/>
  <c r="F16" i="19" s="1"/>
  <c r="E11" i="7"/>
  <c r="F13" i="19" s="1"/>
  <c r="E4" i="7"/>
  <c r="F6" i="19" s="1"/>
  <c r="E15" i="9"/>
  <c r="H17" i="19" s="1"/>
  <c r="E4" i="9"/>
  <c r="H6" i="19" s="1"/>
  <c r="E5" i="9"/>
  <c r="H7" i="19" s="1"/>
  <c r="E3" i="9"/>
  <c r="H5" i="19" s="1"/>
  <c r="E11" i="9"/>
  <c r="H13" i="19" s="1"/>
  <c r="E20" i="9"/>
  <c r="H22" i="19" s="1"/>
  <c r="E9" i="9"/>
  <c r="H11" i="19" s="1"/>
  <c r="E14" i="9"/>
  <c r="H16" i="19" s="1"/>
  <c r="E7" i="10"/>
  <c r="I9" i="19" s="1"/>
  <c r="K8" i="6"/>
  <c r="E10" i="19" s="1"/>
  <c r="E20" i="7"/>
  <c r="F22" i="19" s="1"/>
  <c r="E5" i="7"/>
  <c r="F7" i="19" s="1"/>
  <c r="E19" i="7"/>
  <c r="F21" i="19" s="1"/>
  <c r="E16" i="7"/>
  <c r="F18" i="19" s="1"/>
  <c r="Z22" i="1"/>
  <c r="Y6" i="1"/>
  <c r="Z6" i="1" s="1"/>
  <c r="Y14" i="1"/>
  <c r="D13" i="2" s="1"/>
  <c r="D14" i="3" s="1"/>
  <c r="D24" i="4" s="1"/>
  <c r="Y15" i="1"/>
  <c r="D14" i="2" s="1"/>
  <c r="D15" i="3" s="1"/>
  <c r="Y11" i="1"/>
  <c r="D10" i="2" s="1"/>
  <c r="D11" i="3" s="1"/>
  <c r="Y17" i="1"/>
  <c r="Z17" i="1" s="1"/>
  <c r="Y12" i="1"/>
  <c r="Z12" i="1" s="1"/>
  <c r="Y19" i="1"/>
  <c r="D18" i="2" s="1"/>
  <c r="D19" i="3" s="1"/>
  <c r="Y16" i="1"/>
  <c r="D15" i="2" s="1"/>
  <c r="D16" i="3" s="1"/>
  <c r="Y9" i="1"/>
  <c r="D8" i="2" s="1"/>
  <c r="D9" i="3" s="1"/>
  <c r="Y13" i="1"/>
  <c r="Z13" i="1" s="1"/>
  <c r="Y20" i="1"/>
  <c r="Z20" i="1" s="1"/>
  <c r="Y7" i="1"/>
  <c r="Z7" i="1" s="1"/>
  <c r="Y8" i="1"/>
  <c r="D7" i="2" s="1"/>
  <c r="D8" i="3" s="1"/>
  <c r="D18" i="4" s="1"/>
  <c r="Y18" i="1"/>
  <c r="D17" i="2" s="1"/>
  <c r="D18" i="3" s="1"/>
  <c r="E18" i="3" s="1"/>
  <c r="Y10" i="1"/>
  <c r="Z10" i="1" s="1"/>
  <c r="E4" i="10"/>
  <c r="I6" i="19" s="1"/>
  <c r="E19" i="9"/>
  <c r="H21" i="19" s="1"/>
  <c r="E19" i="10"/>
  <c r="I21" i="19" s="1"/>
  <c r="E12" i="10"/>
  <c r="I14" i="19" s="1"/>
  <c r="E15" i="10"/>
  <c r="I17" i="19" s="1"/>
  <c r="E14" i="10"/>
  <c r="I16" i="19" s="1"/>
  <c r="E5" i="10"/>
  <c r="I7" i="19" s="1"/>
  <c r="E10" i="10"/>
  <c r="I12" i="19" s="1"/>
  <c r="E11" i="10"/>
  <c r="I13" i="19" s="1"/>
  <c r="E8" i="10"/>
  <c r="I10" i="19" s="1"/>
  <c r="E17" i="10"/>
  <c r="I19" i="19" s="1"/>
  <c r="E18" i="10"/>
  <c r="I20" i="19" s="1"/>
  <c r="E20" i="10"/>
  <c r="I22" i="19" s="1"/>
  <c r="E16" i="10"/>
  <c r="I18" i="19" s="1"/>
  <c r="C21" i="8"/>
  <c r="H33" i="4"/>
  <c r="G38" i="4" s="1"/>
  <c r="W23" i="1"/>
  <c r="AA19" i="3" a="1"/>
  <c r="AA19" i="3" s="1"/>
  <c r="J3" i="6"/>
  <c r="K3" i="6" s="1"/>
  <c r="E5" i="19" s="1"/>
  <c r="J9" i="6"/>
  <c r="K9" i="6" s="1"/>
  <c r="E11" i="19" s="1"/>
  <c r="J6" i="6"/>
  <c r="K6" i="6" s="1"/>
  <c r="E8" i="19" s="1"/>
  <c r="J14" i="6"/>
  <c r="K14" i="6" s="1"/>
  <c r="E16" i="19" s="1"/>
  <c r="J16" i="6"/>
  <c r="K16" i="6" s="1"/>
  <c r="E18" i="19" s="1"/>
  <c r="D21" i="7"/>
  <c r="E3" i="7"/>
  <c r="F5" i="19" s="1"/>
  <c r="E21" i="5"/>
  <c r="D21" i="10"/>
  <c r="E3" i="10"/>
  <c r="I5" i="19" s="1"/>
  <c r="Y5" i="1"/>
  <c r="D21" i="9"/>
  <c r="D21" i="5"/>
  <c r="J10" i="6"/>
  <c r="K10" i="6" s="1"/>
  <c r="E12" i="19" s="1"/>
  <c r="J20" i="6"/>
  <c r="K20" i="6" s="1"/>
  <c r="E22" i="19" s="1"/>
  <c r="J18" i="6"/>
  <c r="K18" i="6" s="1"/>
  <c r="E20" i="19" s="1"/>
  <c r="J19" i="6"/>
  <c r="K19" i="6" s="1"/>
  <c r="E21" i="19" s="1"/>
  <c r="J7" i="6"/>
  <c r="K7" i="6" s="1"/>
  <c r="E9" i="19" s="1"/>
  <c r="J12" i="6"/>
  <c r="K12" i="6" s="1"/>
  <c r="E14" i="19" s="1"/>
  <c r="J15" i="6"/>
  <c r="K15" i="6" s="1"/>
  <c r="E17" i="19" s="1"/>
  <c r="J11" i="6"/>
  <c r="K11" i="6" s="1"/>
  <c r="E13" i="19" s="1"/>
  <c r="J13" i="6"/>
  <c r="K13" i="6" s="1"/>
  <c r="E15" i="19" s="1"/>
  <c r="J5" i="6"/>
  <c r="K5" i="6" s="1"/>
  <c r="E7" i="19" s="1"/>
  <c r="J4" i="6"/>
  <c r="K4" i="6" s="1"/>
  <c r="E6" i="19" s="1"/>
  <c r="J17" i="6"/>
  <c r="K17" i="6" s="1"/>
  <c r="E19" i="19" s="1"/>
  <c r="F23" i="19" l="1"/>
  <c r="I23" i="19"/>
  <c r="E23" i="19"/>
  <c r="H23" i="19"/>
  <c r="Z16" i="1"/>
  <c r="Z14" i="1"/>
  <c r="C6" i="12"/>
  <c r="C10" i="12"/>
  <c r="C14" i="12"/>
  <c r="C18" i="12"/>
  <c r="C22" i="12"/>
  <c r="C8" i="12"/>
  <c r="C16" i="12"/>
  <c r="C13" i="12"/>
  <c r="C21" i="12"/>
  <c r="C7" i="12"/>
  <c r="C11" i="12"/>
  <c r="C15" i="12"/>
  <c r="C19" i="12"/>
  <c r="C5" i="12"/>
  <c r="C12" i="12"/>
  <c r="C20" i="12"/>
  <c r="C9" i="12"/>
  <c r="C17" i="12"/>
  <c r="D5" i="2"/>
  <c r="D6" i="3" s="1"/>
  <c r="D16" i="4" s="1"/>
  <c r="E14" i="3"/>
  <c r="Z9" i="1"/>
  <c r="D16" i="2"/>
  <c r="D17" i="3" s="1"/>
  <c r="D27" i="4" s="1"/>
  <c r="E21" i="9"/>
  <c r="Z19" i="1"/>
  <c r="Z15" i="1"/>
  <c r="D19" i="2"/>
  <c r="D20" i="3" s="1"/>
  <c r="E20" i="3" s="1"/>
  <c r="D9" i="2"/>
  <c r="D10" i="3" s="1"/>
  <c r="E10" i="3" s="1"/>
  <c r="D6" i="2"/>
  <c r="D7" i="3" s="1"/>
  <c r="E7" i="3" s="1"/>
  <c r="E16" i="3"/>
  <c r="D26" i="4"/>
  <c r="D11" i="2"/>
  <c r="D12" i="3" s="1"/>
  <c r="E12" i="3" s="1"/>
  <c r="Z8" i="1"/>
  <c r="D28" i="4"/>
  <c r="D12" i="2"/>
  <c r="D13" i="3" s="1"/>
  <c r="E13" i="3" s="1"/>
  <c r="Z11" i="1"/>
  <c r="E21" i="8"/>
  <c r="F6" i="8" s="1"/>
  <c r="G6" i="8" s="1"/>
  <c r="G8" i="19" s="1"/>
  <c r="J8" i="19" s="1"/>
  <c r="Z18" i="1"/>
  <c r="E8" i="3"/>
  <c r="E19" i="3"/>
  <c r="D29" i="4"/>
  <c r="D21" i="4"/>
  <c r="E11" i="3"/>
  <c r="D19" i="4"/>
  <c r="E9" i="3"/>
  <c r="E15" i="3"/>
  <c r="D25" i="4"/>
  <c r="E21" i="10"/>
  <c r="D4" i="2"/>
  <c r="D5" i="3" s="1"/>
  <c r="Z5" i="1"/>
  <c r="J21" i="6"/>
  <c r="K21" i="6"/>
  <c r="E21" i="7"/>
  <c r="L8" i="19" l="1"/>
  <c r="K8" i="19"/>
  <c r="I18" i="4" s="1"/>
  <c r="E6" i="3"/>
  <c r="E17" i="3"/>
  <c r="B27" i="1"/>
  <c r="D17" i="4"/>
  <c r="D20" i="4"/>
  <c r="D22" i="4"/>
  <c r="D23" i="4"/>
  <c r="D30" i="4"/>
  <c r="F16" i="8"/>
  <c r="G16" i="8" s="1"/>
  <c r="G18" i="19" s="1"/>
  <c r="F7" i="8"/>
  <c r="G7" i="8" s="1"/>
  <c r="G9" i="19" s="1"/>
  <c r="F13" i="8"/>
  <c r="G13" i="8" s="1"/>
  <c r="G15" i="19" s="1"/>
  <c r="F15" i="8"/>
  <c r="G15" i="8" s="1"/>
  <c r="G17" i="19" s="1"/>
  <c r="F3" i="8"/>
  <c r="G3" i="8" s="1"/>
  <c r="G5" i="19" s="1"/>
  <c r="F8" i="8"/>
  <c r="G8" i="8" s="1"/>
  <c r="G10" i="19" s="1"/>
  <c r="F18" i="8"/>
  <c r="G18" i="8" s="1"/>
  <c r="G20" i="19" s="1"/>
  <c r="F12" i="8"/>
  <c r="G12" i="8" s="1"/>
  <c r="G14" i="19" s="1"/>
  <c r="F5" i="8"/>
  <c r="G5" i="8" s="1"/>
  <c r="G7" i="19" s="1"/>
  <c r="F17" i="8"/>
  <c r="G17" i="8" s="1"/>
  <c r="G19" i="19" s="1"/>
  <c r="F14" i="8"/>
  <c r="G14" i="8" s="1"/>
  <c r="G16" i="19" s="1"/>
  <c r="F10" i="8"/>
  <c r="G10" i="8" s="1"/>
  <c r="G12" i="19" s="1"/>
  <c r="F4" i="8"/>
  <c r="G4" i="8" s="1"/>
  <c r="G6" i="19" s="1"/>
  <c r="F9" i="8"/>
  <c r="G9" i="8" s="1"/>
  <c r="G11" i="19" s="1"/>
  <c r="F11" i="8"/>
  <c r="G11" i="8" s="1"/>
  <c r="G13" i="19" s="1"/>
  <c r="F20" i="8"/>
  <c r="G20" i="8" s="1"/>
  <c r="G22" i="19" s="1"/>
  <c r="F19" i="8"/>
  <c r="G19" i="8" s="1"/>
  <c r="G21" i="19" s="1"/>
  <c r="B29" i="1"/>
  <c r="B28" i="1"/>
  <c r="E5" i="3"/>
  <c r="D15" i="4"/>
  <c r="L11" i="19" l="1"/>
  <c r="K11" i="19"/>
  <c r="I21" i="4" s="1"/>
  <c r="J11" i="19"/>
  <c r="J10" i="19"/>
  <c r="L10" i="19"/>
  <c r="K10" i="19"/>
  <c r="I20" i="4" s="1"/>
  <c r="L21" i="19"/>
  <c r="K21" i="19"/>
  <c r="I31" i="4" s="1"/>
  <c r="J21" i="19"/>
  <c r="L7" i="19"/>
  <c r="J7" i="19"/>
  <c r="K7" i="19"/>
  <c r="I17" i="4" s="1"/>
  <c r="G23" i="19"/>
  <c r="J5" i="19"/>
  <c r="L5" i="19"/>
  <c r="K5" i="19"/>
  <c r="L22" i="19"/>
  <c r="K22" i="19"/>
  <c r="I32" i="4" s="1"/>
  <c r="J22" i="19"/>
  <c r="L12" i="19"/>
  <c r="K12" i="19"/>
  <c r="I22" i="4" s="1"/>
  <c r="J12" i="19"/>
  <c r="K14" i="19"/>
  <c r="I24" i="4" s="1"/>
  <c r="L14" i="19"/>
  <c r="J14" i="19"/>
  <c r="J17" i="19"/>
  <c r="L17" i="19"/>
  <c r="K17" i="19"/>
  <c r="I27" i="4" s="1"/>
  <c r="J19" i="19"/>
  <c r="K19" i="19"/>
  <c r="I29" i="4" s="1"/>
  <c r="L19" i="19"/>
  <c r="L9" i="19"/>
  <c r="K9" i="19"/>
  <c r="I19" i="4" s="1"/>
  <c r="J9" i="19"/>
  <c r="J6" i="19"/>
  <c r="L6" i="19"/>
  <c r="K6" i="19"/>
  <c r="I16" i="4" s="1"/>
  <c r="L18" i="19"/>
  <c r="K18" i="19"/>
  <c r="I28" i="4" s="1"/>
  <c r="J18" i="19"/>
  <c r="J13" i="19"/>
  <c r="K13" i="19"/>
  <c r="I23" i="4" s="1"/>
  <c r="L13" i="19"/>
  <c r="J16" i="19"/>
  <c r="K16" i="19"/>
  <c r="I26" i="4" s="1"/>
  <c r="L16" i="19"/>
  <c r="K20" i="19"/>
  <c r="I30" i="4" s="1"/>
  <c r="J20" i="19"/>
  <c r="L20" i="19"/>
  <c r="L15" i="19"/>
  <c r="J15" i="19"/>
  <c r="K15" i="19"/>
  <c r="I25" i="4" s="1"/>
  <c r="AA20" i="3" a="1"/>
  <c r="AA20" i="3" s="1"/>
  <c r="AA18" i="3" a="1"/>
  <c r="AA18" i="3" s="1"/>
  <c r="F21" i="8"/>
  <c r="G21" i="8"/>
  <c r="C27" i="1"/>
  <c r="AA10" i="3" a="1"/>
  <c r="AA10" i="3" s="1"/>
  <c r="AA8" i="3" a="1"/>
  <c r="AA8" i="3" s="1"/>
  <c r="AA16" i="3" a="1"/>
  <c r="AA16" i="3" s="1"/>
  <c r="B30" i="1"/>
  <c r="U22" i="3" a="1"/>
  <c r="U22" i="3" s="1"/>
  <c r="T21" i="3" a="1"/>
  <c r="T21" i="3" s="1"/>
  <c r="W21" i="3" a="1"/>
  <c r="W21" i="3" s="1"/>
  <c r="R22" i="3" a="1"/>
  <c r="R22" i="3" s="1"/>
  <c r="S22" i="3" a="1"/>
  <c r="S22" i="3" s="1"/>
  <c r="V22" i="3" a="1"/>
  <c r="V22" i="3" s="1"/>
  <c r="T22" i="3" a="1"/>
  <c r="T22" i="3" s="1"/>
  <c r="S21" i="3" a="1"/>
  <c r="S21" i="3" s="1"/>
  <c r="R21" i="3" a="1"/>
  <c r="R21" i="3" s="1"/>
  <c r="W22" i="3" a="1"/>
  <c r="W22" i="3" s="1"/>
  <c r="Y21" i="3" a="1"/>
  <c r="Y21" i="3" s="1"/>
  <c r="Y22" i="3" a="1"/>
  <c r="Y22" i="3" s="1"/>
  <c r="Q21" i="3" a="1"/>
  <c r="Q21" i="3" s="1"/>
  <c r="X22" i="3" a="1"/>
  <c r="X22" i="3" s="1"/>
  <c r="V21" i="3" a="1"/>
  <c r="V21" i="3" s="1"/>
  <c r="U21" i="3" a="1"/>
  <c r="U21" i="3" s="1"/>
  <c r="X21" i="3" a="1"/>
  <c r="X21" i="3" s="1"/>
  <c r="Q22" i="3" a="1"/>
  <c r="Q22" i="3" s="1"/>
  <c r="C29" i="1"/>
  <c r="C28" i="1"/>
  <c r="Q5" i="3" a="1"/>
  <c r="Q5" i="3" s="1"/>
  <c r="T5" i="3" a="1"/>
  <c r="T5" i="3" s="1"/>
  <c r="X5" i="3" a="1"/>
  <c r="X5" i="3" s="1"/>
  <c r="V5" i="3" a="1"/>
  <c r="V5" i="3" s="1"/>
  <c r="T12" i="3" a="1"/>
  <c r="T12" i="3" s="1"/>
  <c r="U5" i="3" a="1"/>
  <c r="U5" i="3" s="1"/>
  <c r="R19" i="3" a="1"/>
  <c r="R19" i="3" s="1"/>
  <c r="R6" i="3" a="1"/>
  <c r="R6" i="3" s="1"/>
  <c r="X19" i="3" a="1"/>
  <c r="X19" i="3" s="1"/>
  <c r="AA5" i="3" a="1"/>
  <c r="AA5" i="3" s="1"/>
  <c r="W13" i="3" a="1"/>
  <c r="W13" i="3" s="1"/>
  <c r="T6" i="3" a="1"/>
  <c r="T6" i="3" s="1"/>
  <c r="U11" i="3" a="1"/>
  <c r="U11" i="3" s="1"/>
  <c r="V19" i="3" a="1"/>
  <c r="V19" i="3" s="1"/>
  <c r="S11" i="3" a="1"/>
  <c r="S11" i="3" s="1"/>
  <c r="V9" i="3" a="1"/>
  <c r="V9" i="3" s="1"/>
  <c r="R11" i="3" a="1"/>
  <c r="R11" i="3" s="1"/>
  <c r="S13" i="3" a="1"/>
  <c r="S13" i="3" s="1"/>
  <c r="W9" i="3" a="1"/>
  <c r="W9" i="3" s="1"/>
  <c r="X6" i="3" a="1"/>
  <c r="X6" i="3" s="1"/>
  <c r="T15" i="3" a="1"/>
  <c r="T15" i="3" s="1"/>
  <c r="R5" i="3" a="1"/>
  <c r="R5" i="3" s="1"/>
  <c r="Y5" i="3" a="1"/>
  <c r="Y5" i="3" s="1"/>
  <c r="Y8" i="3" a="1"/>
  <c r="Y8" i="3" s="1"/>
  <c r="V16" i="3" a="1"/>
  <c r="V16" i="3" s="1"/>
  <c r="S5" i="3" a="1"/>
  <c r="S5" i="3" s="1"/>
  <c r="U6" i="3" a="1"/>
  <c r="U6" i="3" s="1"/>
  <c r="S9" i="3" a="1"/>
  <c r="S9" i="3" s="1"/>
  <c r="U16" i="3" a="1"/>
  <c r="U16" i="3" s="1"/>
  <c r="T19" i="3" a="1"/>
  <c r="T19" i="3" s="1"/>
  <c r="S6" i="3" a="1"/>
  <c r="S6" i="3" s="1"/>
  <c r="X9" i="3" a="1"/>
  <c r="X9" i="3" s="1"/>
  <c r="S16" i="3" a="1"/>
  <c r="S16" i="3" s="1"/>
  <c r="U19" i="3" a="1"/>
  <c r="U19" i="3" s="1"/>
  <c r="U9" i="3" a="1"/>
  <c r="U9" i="3" s="1"/>
  <c r="X7" i="3" a="1"/>
  <c r="X7" i="3" s="1"/>
  <c r="W5" i="3" a="1"/>
  <c r="W5" i="3" s="1"/>
  <c r="W11" i="3" a="1"/>
  <c r="W11" i="3" s="1"/>
  <c r="S15" i="3" a="1"/>
  <c r="S15" i="3" s="1"/>
  <c r="T7" i="3" a="1"/>
  <c r="T7" i="3" s="1"/>
  <c r="Y9" i="3" a="1"/>
  <c r="Y9" i="3" s="1"/>
  <c r="T16" i="3" a="1"/>
  <c r="T16" i="3" s="1"/>
  <c r="V7" i="3" a="1"/>
  <c r="V7" i="3" s="1"/>
  <c r="AA12" i="3" a="1"/>
  <c r="AA12" i="3" s="1"/>
  <c r="Q12" i="3" a="1"/>
  <c r="Q12" i="3" s="1"/>
  <c r="X15" i="3" a="1"/>
  <c r="X15" i="3" s="1"/>
  <c r="X8" i="3" a="1"/>
  <c r="X8" i="3" s="1"/>
  <c r="X16" i="3" a="1"/>
  <c r="X16" i="3" s="1"/>
  <c r="R17" i="3" a="1"/>
  <c r="R17" i="3" s="1"/>
  <c r="X20" i="3" a="1"/>
  <c r="X20" i="3" s="1"/>
  <c r="Y20" i="3" a="1"/>
  <c r="Y20" i="3" s="1"/>
  <c r="Q6" i="3" a="1"/>
  <c r="Q6" i="3" s="1"/>
  <c r="W19" i="3" a="1"/>
  <c r="W19" i="3" s="1"/>
  <c r="Q13" i="3" a="1"/>
  <c r="Q13" i="3" s="1"/>
  <c r="R7" i="3" a="1"/>
  <c r="R7" i="3" s="1"/>
  <c r="V11" i="3" a="1"/>
  <c r="V11" i="3" s="1"/>
  <c r="W20" i="3" a="1"/>
  <c r="W20" i="3" s="1"/>
  <c r="T17" i="3" a="1"/>
  <c r="T17" i="3" s="1"/>
  <c r="W17" i="3" a="1"/>
  <c r="W17" i="3" s="1"/>
  <c r="R9" i="3" a="1"/>
  <c r="R9" i="3" s="1"/>
  <c r="Y19" i="3" a="1"/>
  <c r="Y19" i="3" s="1"/>
  <c r="U8" i="3" a="1"/>
  <c r="U8" i="3" s="1"/>
  <c r="Q20" i="3" a="1"/>
  <c r="Q20" i="3" s="1"/>
  <c r="T13" i="3" a="1"/>
  <c r="T13" i="3" s="1"/>
  <c r="U20" i="3" a="1"/>
  <c r="U20" i="3" s="1"/>
  <c r="S17" i="3" a="1"/>
  <c r="S17" i="3" s="1"/>
  <c r="S19" i="3" a="1"/>
  <c r="S19" i="3" s="1"/>
  <c r="Q15" i="3" a="1"/>
  <c r="Q15" i="3" s="1"/>
  <c r="Y7" i="3" a="1"/>
  <c r="Y7" i="3" s="1"/>
  <c r="R16" i="3" a="1"/>
  <c r="R16" i="3" s="1"/>
  <c r="Y16" i="3" a="1"/>
  <c r="Y16" i="3" s="1"/>
  <c r="W12" i="3" a="1"/>
  <c r="W12" i="3" s="1"/>
  <c r="U12" i="3" a="1"/>
  <c r="U12" i="3" s="1"/>
  <c r="S8" i="3" a="1"/>
  <c r="S8" i="3" s="1"/>
  <c r="Q8" i="3" a="1"/>
  <c r="Q8" i="3" s="1"/>
  <c r="R20" i="3" a="1"/>
  <c r="R20" i="3" s="1"/>
  <c r="W6" i="3" a="1"/>
  <c r="W6" i="3" s="1"/>
  <c r="U15" i="3" a="1"/>
  <c r="U15" i="3" s="1"/>
  <c r="V13" i="3" a="1"/>
  <c r="V13" i="3" s="1"/>
  <c r="V17" i="3" a="1"/>
  <c r="V17" i="3" s="1"/>
  <c r="V6" i="3" a="1"/>
  <c r="V6" i="3" s="1"/>
  <c r="Y15" i="3" a="1"/>
  <c r="Y15" i="3" s="1"/>
  <c r="X11" i="3" a="1"/>
  <c r="X11" i="3" s="1"/>
  <c r="Q19" i="3" a="1"/>
  <c r="Q19" i="3" s="1"/>
  <c r="Y13" i="3" a="1"/>
  <c r="Y13" i="3" s="1"/>
  <c r="U7" i="3" a="1"/>
  <c r="U7" i="3" s="1"/>
  <c r="T11" i="3" a="1"/>
  <c r="T11" i="3" s="1"/>
  <c r="V15" i="3" a="1"/>
  <c r="V15" i="3" s="1"/>
  <c r="Q9" i="3" a="1"/>
  <c r="Q9" i="3" s="1"/>
  <c r="Y17" i="3" a="1"/>
  <c r="Y17" i="3" s="1"/>
  <c r="S12" i="3" a="1"/>
  <c r="S12" i="3" s="1"/>
  <c r="R8" i="3" a="1"/>
  <c r="R8" i="3" s="1"/>
  <c r="Y6" i="3" a="1"/>
  <c r="Y6" i="3" s="1"/>
  <c r="Q11" i="3" a="1"/>
  <c r="Q11" i="3" s="1"/>
  <c r="U13" i="3" a="1"/>
  <c r="U13" i="3" s="1"/>
  <c r="W15" i="3" a="1"/>
  <c r="W15" i="3" s="1"/>
  <c r="Q7" i="3" a="1"/>
  <c r="Q7" i="3" s="1"/>
  <c r="T9" i="3" a="1"/>
  <c r="T9" i="3" s="1"/>
  <c r="AA9" i="3" a="1"/>
  <c r="AA9" i="3" s="1"/>
  <c r="Q16" i="3" a="1"/>
  <c r="Q16" i="3" s="1"/>
  <c r="W7" i="3" a="1"/>
  <c r="W7" i="3" s="1"/>
  <c r="X12" i="3" a="1"/>
  <c r="X12" i="3" s="1"/>
  <c r="Y12" i="3" a="1"/>
  <c r="Y12" i="3" s="1"/>
  <c r="V12" i="3" a="1"/>
  <c r="V12" i="3" s="1"/>
  <c r="V8" i="3" a="1"/>
  <c r="V8" i="3" s="1"/>
  <c r="R13" i="3" a="1"/>
  <c r="R13" i="3" s="1"/>
  <c r="AA17" i="3" a="1"/>
  <c r="AA17" i="3" s="1"/>
  <c r="V20" i="3" a="1"/>
  <c r="V20" i="3" s="1"/>
  <c r="R15" i="3" a="1"/>
  <c r="R15" i="3" s="1"/>
  <c r="AA6" i="3" a="1"/>
  <c r="AA6" i="3" s="1"/>
  <c r="X13" i="3" a="1"/>
  <c r="X13" i="3" s="1"/>
  <c r="T20" i="3" a="1"/>
  <c r="T20" i="3" s="1"/>
  <c r="S7" i="3" a="1"/>
  <c r="S7" i="3" s="1"/>
  <c r="Y11" i="3" a="1"/>
  <c r="Y11" i="3" s="1"/>
  <c r="T8" i="3" a="1"/>
  <c r="T8" i="3" s="1"/>
  <c r="AA7" i="3" a="1"/>
  <c r="AA7" i="3" s="1"/>
  <c r="W16" i="3" a="1"/>
  <c r="W16" i="3" s="1"/>
  <c r="R12" i="3" a="1"/>
  <c r="R12" i="3" s="1"/>
  <c r="W8" i="3" a="1"/>
  <c r="W8" i="3" s="1"/>
  <c r="Q17" i="3" a="1"/>
  <c r="Q17" i="3" s="1"/>
  <c r="S20" i="3" a="1"/>
  <c r="S20" i="3" s="1"/>
  <c r="X17" i="3" a="1"/>
  <c r="X17" i="3" s="1"/>
  <c r="U17" i="3" a="1"/>
  <c r="U17" i="3" s="1"/>
  <c r="AA11" i="3" a="1"/>
  <c r="AA11" i="3" s="1"/>
  <c r="U10" i="3" a="1"/>
  <c r="U10" i="3" s="1"/>
  <c r="Q10" i="3" a="1"/>
  <c r="Q10" i="3" s="1"/>
  <c r="Y18" i="3" a="1"/>
  <c r="Y18" i="3" s="1"/>
  <c r="S18" i="3" a="1"/>
  <c r="S18" i="3" s="1"/>
  <c r="S14" i="3" a="1"/>
  <c r="S14" i="3" s="1"/>
  <c r="T14" i="3" a="1"/>
  <c r="T14" i="3" s="1"/>
  <c r="X10" i="3" a="1"/>
  <c r="X10" i="3" s="1"/>
  <c r="R14" i="3" a="1"/>
  <c r="R14" i="3" s="1"/>
  <c r="S10" i="3" a="1"/>
  <c r="S10" i="3" s="1"/>
  <c r="V10" i="3" a="1"/>
  <c r="V10" i="3" s="1"/>
  <c r="W18" i="3" a="1"/>
  <c r="W18" i="3" s="1"/>
  <c r="X18" i="3" a="1"/>
  <c r="X18" i="3" s="1"/>
  <c r="Y14" i="3" a="1"/>
  <c r="Y14" i="3" s="1"/>
  <c r="W10" i="3" a="1"/>
  <c r="W10" i="3" s="1"/>
  <c r="Q18" i="3" a="1"/>
  <c r="Q18" i="3" s="1"/>
  <c r="W14" i="3" a="1"/>
  <c r="W14" i="3" s="1"/>
  <c r="Y10" i="3" a="1"/>
  <c r="Y10" i="3" s="1"/>
  <c r="T10" i="3" a="1"/>
  <c r="T10" i="3" s="1"/>
  <c r="T18" i="3" a="1"/>
  <c r="T18" i="3" s="1"/>
  <c r="R18" i="3" a="1"/>
  <c r="R18" i="3" s="1"/>
  <c r="V18" i="3" a="1"/>
  <c r="V18" i="3" s="1"/>
  <c r="Q14" i="3" a="1"/>
  <c r="Q14" i="3" s="1"/>
  <c r="U14" i="3" a="1"/>
  <c r="U14" i="3" s="1"/>
  <c r="V14" i="3" a="1"/>
  <c r="V14" i="3" s="1"/>
  <c r="R10" i="3" a="1"/>
  <c r="R10" i="3" s="1"/>
  <c r="U18" i="3" a="1"/>
  <c r="U18" i="3" s="1"/>
  <c r="X14" i="3" a="1"/>
  <c r="X14" i="3" s="1"/>
  <c r="W23" i="3" l="1"/>
  <c r="Q23" i="3"/>
  <c r="V23" i="3"/>
  <c r="Y23" i="3"/>
  <c r="X23" i="3"/>
  <c r="S23" i="3"/>
  <c r="R23" i="3"/>
  <c r="AA23" i="3"/>
  <c r="U23" i="3"/>
  <c r="T23" i="3"/>
  <c r="K23" i="19"/>
  <c r="K24" i="19" s="1"/>
  <c r="I15" i="4"/>
  <c r="J33" i="4" s="1"/>
  <c r="L23" i="19"/>
  <c r="L24" i="19" s="1"/>
  <c r="J23" i="19"/>
  <c r="J24" i="19" s="1"/>
  <c r="AB22" i="3"/>
  <c r="AB21" i="3"/>
  <c r="AB20" i="3"/>
  <c r="AB18" i="3"/>
  <c r="AB15" i="3"/>
  <c r="I33" i="4" l="1"/>
  <c r="I34" i="4" s="1"/>
  <c r="Z5" i="3" a="1"/>
  <c r="Z5" i="3" s="1"/>
  <c r="AB5" i="3" l="1"/>
  <c r="Z13" i="3" a="1"/>
  <c r="Z13" i="3" s="1"/>
  <c r="AB13" i="3" s="1"/>
  <c r="Z16" i="3" a="1"/>
  <c r="Z16" i="3" s="1"/>
  <c r="AB16" i="3" s="1"/>
  <c r="Z10" i="3" a="1"/>
  <c r="Z10" i="3" s="1"/>
  <c r="AB10" i="3" s="1"/>
  <c r="Z14" i="3" a="1"/>
  <c r="Z14" i="3" s="1"/>
  <c r="AB14" i="3" s="1"/>
  <c r="Z8" i="3" a="1"/>
  <c r="Z8" i="3" s="1"/>
  <c r="AB8" i="3" s="1"/>
  <c r="Z17" i="3" a="1"/>
  <c r="Z17" i="3" s="1"/>
  <c r="AB17" i="3" s="1"/>
  <c r="Z9" i="3" a="1"/>
  <c r="Z9" i="3" s="1"/>
  <c r="AB9" i="3" s="1"/>
  <c r="Z6" i="3" a="1"/>
  <c r="Z6" i="3" s="1"/>
  <c r="AB6" i="3" s="1"/>
  <c r="Z12" i="3" a="1"/>
  <c r="Z12" i="3" s="1"/>
  <c r="AB12" i="3" s="1"/>
  <c r="Z11" i="3" a="1"/>
  <c r="Z11" i="3" s="1"/>
  <c r="AB11" i="3" s="1"/>
  <c r="Z7" i="3" a="1"/>
  <c r="Z7" i="3" s="1"/>
  <c r="AB7" i="3" s="1"/>
  <c r="Z19" i="3" a="1"/>
  <c r="Z19" i="3" s="1"/>
  <c r="AB19" i="3" s="1"/>
  <c r="Z23" i="3" l="1"/>
  <c r="AC15" i="3" a="1"/>
  <c r="AC15" i="3" s="1"/>
  <c r="AD15" i="3" s="1"/>
  <c r="AC19" i="3" a="1"/>
  <c r="AC19" i="3" s="1"/>
  <c r="AD19" i="3" s="1"/>
  <c r="AC22" i="3" a="1"/>
  <c r="AC22" i="3" s="1"/>
  <c r="AD22" i="3" s="1"/>
  <c r="AC12" i="3" a="1"/>
  <c r="AC12" i="3" s="1"/>
  <c r="AD12" i="3" s="1"/>
  <c r="AC17" i="3" a="1"/>
  <c r="AC17" i="3" s="1"/>
  <c r="AD17" i="3" s="1"/>
  <c r="AC5" i="3" a="1"/>
  <c r="AC5" i="3" s="1"/>
  <c r="AD5" i="3" s="1"/>
  <c r="AC7" i="3" a="1"/>
  <c r="AC7" i="3" s="1"/>
  <c r="AD7" i="3" s="1"/>
  <c r="AC6" i="3" a="1"/>
  <c r="AC6" i="3" s="1"/>
  <c r="AD6" i="3" s="1"/>
  <c r="AC11" i="3" a="1"/>
  <c r="AC11" i="3" s="1"/>
  <c r="AD11" i="3" s="1"/>
  <c r="AC13" i="3" a="1"/>
  <c r="AC13" i="3" s="1"/>
  <c r="AD13" i="3" s="1"/>
  <c r="AC21" i="3" a="1"/>
  <c r="AC21" i="3" s="1"/>
  <c r="AD21" i="3" s="1"/>
  <c r="AC18" i="3" a="1"/>
  <c r="AC18" i="3" s="1"/>
  <c r="AD18" i="3" s="1"/>
  <c r="AC9" i="3" a="1"/>
  <c r="AC9" i="3" s="1"/>
  <c r="AD9" i="3" s="1"/>
  <c r="AC14" i="3" a="1"/>
  <c r="AC14" i="3" s="1"/>
  <c r="AD14" i="3" s="1"/>
  <c r="AC20" i="3" a="1"/>
  <c r="AC20" i="3" s="1"/>
  <c r="AD20" i="3" s="1"/>
  <c r="AC16" i="3" a="1"/>
  <c r="AC16" i="3" s="1"/>
  <c r="AD16" i="3" s="1"/>
  <c r="AC8" i="3" a="1"/>
  <c r="AC8" i="3" s="1"/>
  <c r="AD8" i="3" s="1"/>
  <c r="AC10" i="3" a="1"/>
  <c r="AC10" i="3" s="1"/>
  <c r="AD10" i="3" s="1"/>
  <c r="AD23" i="3" l="1"/>
  <c r="B37" i="1"/>
  <c r="B36" i="1"/>
  <c r="B35" i="1"/>
  <c r="B38" i="1" l="1"/>
  <c r="C36" i="1"/>
  <c r="C37" i="1"/>
  <c r="C35" i="1"/>
  <c r="AE19" i="3" l="1"/>
  <c r="AF19" i="3" s="1"/>
  <c r="AG19" i="3" s="1"/>
  <c r="AE11" i="3"/>
  <c r="AF11" i="3" s="1"/>
  <c r="AH11" i="3" s="1"/>
  <c r="AE8" i="3"/>
  <c r="AF8" i="3" s="1"/>
  <c r="AG8" i="3" s="1"/>
  <c r="AE20" i="3"/>
  <c r="AF20" i="3" s="1"/>
  <c r="AH20" i="3" s="1"/>
  <c r="AE16" i="3"/>
  <c r="AF16" i="3" s="1"/>
  <c r="AG16" i="3" s="1"/>
  <c r="AE14" i="3"/>
  <c r="AF14" i="3" s="1"/>
  <c r="AG14" i="3" s="1"/>
  <c r="AE13" i="3"/>
  <c r="AF13" i="3" s="1"/>
  <c r="AH13" i="3" s="1"/>
  <c r="AE7" i="3"/>
  <c r="AF7" i="3" s="1"/>
  <c r="AG7" i="3" s="1"/>
  <c r="AE17" i="3"/>
  <c r="AF17" i="3" s="1"/>
  <c r="AG17" i="3" s="1"/>
  <c r="AE18" i="3"/>
  <c r="AF18" i="3" s="1"/>
  <c r="AH18" i="3" s="1"/>
  <c r="AE12" i="3"/>
  <c r="AF12" i="3" s="1"/>
  <c r="AH12" i="3" s="1"/>
  <c r="AE10" i="3"/>
  <c r="AF10" i="3" s="1"/>
  <c r="AG10" i="3" s="1"/>
  <c r="AE15" i="3"/>
  <c r="AF15" i="3" s="1"/>
  <c r="AG15" i="3" s="1"/>
  <c r="AE22" i="3"/>
  <c r="AF22" i="3" s="1"/>
  <c r="AE21" i="3"/>
  <c r="AF21" i="3" s="1"/>
  <c r="AH19" i="3"/>
  <c r="AE6" i="3"/>
  <c r="AF6" i="3" s="1"/>
  <c r="AE5" i="3"/>
  <c r="AF5" i="3" s="1"/>
  <c r="AE9" i="3"/>
  <c r="AF9" i="3" s="1"/>
  <c r="C38" i="1"/>
  <c r="AH8" i="3" l="1"/>
  <c r="AG11" i="3"/>
  <c r="K21" i="4" s="1"/>
  <c r="AG20" i="3"/>
  <c r="AH16" i="3"/>
  <c r="AH14" i="3"/>
  <c r="AH17" i="3"/>
  <c r="AG13" i="3"/>
  <c r="K23" i="4" s="1"/>
  <c r="AG12" i="3"/>
  <c r="K22" i="4" s="1"/>
  <c r="AH7" i="3"/>
  <c r="AH15" i="3"/>
  <c r="AG18" i="3"/>
  <c r="K28" i="4" s="1"/>
  <c r="AH10" i="3"/>
  <c r="K17" i="4"/>
  <c r="K27" i="4"/>
  <c r="K25" i="4"/>
  <c r="K29" i="4"/>
  <c r="AF23" i="3"/>
  <c r="AF24" i="3" s="1"/>
  <c r="AH5" i="3"/>
  <c r="AG5" i="3"/>
  <c r="K30" i="4"/>
  <c r="AG21" i="3"/>
  <c r="AH21" i="3"/>
  <c r="K18" i="4"/>
  <c r="K24" i="4"/>
  <c r="K26" i="4"/>
  <c r="AG9" i="3"/>
  <c r="AH9" i="3"/>
  <c r="K20" i="4"/>
  <c r="AH6" i="3"/>
  <c r="AG6" i="3"/>
  <c r="AH22" i="3"/>
  <c r="AG22" i="3"/>
  <c r="AH23" i="3" l="1"/>
  <c r="AH24" i="3" s="1"/>
  <c r="K31" i="4"/>
  <c r="K32" i="4"/>
  <c r="K16" i="4"/>
  <c r="K19" i="4"/>
  <c r="K15" i="4"/>
  <c r="AG23" i="3"/>
  <c r="AG24" i="3" l="1"/>
  <c r="AI19" i="3" s="1" a="1"/>
  <c r="AI19" i="3" s="1"/>
  <c r="AI11" i="3" a="1"/>
  <c r="AI11" i="3" s="1"/>
  <c r="AI5" i="3" a="1"/>
  <c r="AI5" i="3" s="1"/>
  <c r="AI21" i="3" a="1"/>
  <c r="AI21" i="3" s="1"/>
  <c r="AI10" i="3" a="1"/>
  <c r="AI10" i="3" s="1"/>
  <c r="AI12" i="3" a="1"/>
  <c r="AI12" i="3" s="1"/>
  <c r="AI14" i="3" a="1"/>
  <c r="AI14" i="3" s="1"/>
  <c r="AI17" i="3" a="1"/>
  <c r="AI17" i="3" s="1"/>
  <c r="K33" i="4"/>
  <c r="K34" i="4" s="1"/>
  <c r="AI18" i="3" a="1"/>
  <c r="AI18" i="3" s="1"/>
  <c r="AI6" i="3" a="1"/>
  <c r="AI6" i="3" s="1"/>
  <c r="AI7" i="3" a="1"/>
  <c r="AI7" i="3" s="1"/>
  <c r="AI8" i="3" a="1"/>
  <c r="AI8" i="3" s="1"/>
  <c r="AI20" i="3" l="1" a="1"/>
  <c r="AI20" i="3" s="1"/>
  <c r="AI13" i="3" a="1"/>
  <c r="AI13" i="3" s="1"/>
  <c r="AI16" i="3" a="1"/>
  <c r="AI16" i="3" s="1"/>
  <c r="AI9" i="3" a="1"/>
  <c r="AI9" i="3" s="1"/>
  <c r="AI15" i="3" a="1"/>
  <c r="AI15" i="3" s="1"/>
  <c r="AI22" i="3" a="1"/>
  <c r="AI22" i="3" s="1"/>
  <c r="AI23" i="3" l="1"/>
  <c r="C25" i="14"/>
  <c r="I13" i="14" s="1"/>
  <c r="N14" i="12" s="1"/>
  <c r="B37" i="13"/>
  <c r="V15" i="13" s="1"/>
  <c r="C23" i="12"/>
  <c r="L18" i="12"/>
  <c r="L7" i="12"/>
  <c r="L20" i="12"/>
  <c r="L10" i="12"/>
  <c r="L22" i="12"/>
  <c r="L14" i="12"/>
  <c r="L9" i="12"/>
  <c r="L8" i="12"/>
  <c r="L5" i="12"/>
  <c r="L12" i="12"/>
  <c r="L17" i="12"/>
  <c r="L13" i="12"/>
  <c r="L11" i="12"/>
  <c r="L19" i="12"/>
  <c r="L6" i="12"/>
  <c r="L15" i="12"/>
  <c r="L21" i="12"/>
  <c r="L16" i="12"/>
  <c r="I4" i="14" l="1"/>
  <c r="I9" i="14"/>
  <c r="N10" i="12" s="1"/>
  <c r="I7" i="14"/>
  <c r="N8" i="12" s="1"/>
  <c r="I8" i="14"/>
  <c r="N9" i="12" s="1"/>
  <c r="I17" i="14"/>
  <c r="N18" i="12" s="1"/>
  <c r="I19" i="14"/>
  <c r="N20" i="12" s="1"/>
  <c r="I21" i="14"/>
  <c r="N22" i="12" s="1"/>
  <c r="I11" i="14"/>
  <c r="N12" i="12" s="1"/>
  <c r="I15" i="14"/>
  <c r="N16" i="12" s="1"/>
  <c r="I5" i="14"/>
  <c r="N6" i="12" s="1"/>
  <c r="V32" i="13"/>
  <c r="M22" i="12" s="1"/>
  <c r="V18" i="13"/>
  <c r="M13" i="12" s="1"/>
  <c r="V16" i="13"/>
  <c r="M14" i="12" s="1"/>
  <c r="O14" i="12" s="1"/>
  <c r="Q14" i="12" s="1"/>
  <c r="L24" i="4" s="1"/>
  <c r="V27" i="13"/>
  <c r="M7" i="12" s="1"/>
  <c r="V19" i="13"/>
  <c r="M12" i="12" s="1"/>
  <c r="V28" i="13"/>
  <c r="M9" i="12" s="1"/>
  <c r="V21" i="13"/>
  <c r="M17" i="12" s="1"/>
  <c r="V25" i="13"/>
  <c r="M6" i="12" s="1"/>
  <c r="I20" i="14"/>
  <c r="N21" i="12" s="1"/>
  <c r="I6" i="14"/>
  <c r="N7" i="12" s="1"/>
  <c r="I18" i="14"/>
  <c r="N19" i="12" s="1"/>
  <c r="I10" i="14"/>
  <c r="N11" i="12" s="1"/>
  <c r="V22" i="13"/>
  <c r="M18" i="12" s="1"/>
  <c r="V24" i="13"/>
  <c r="M15" i="12" s="1"/>
  <c r="V20" i="13"/>
  <c r="M8" i="12" s="1"/>
  <c r="V26" i="13"/>
  <c r="M16" i="12" s="1"/>
  <c r="I12" i="14"/>
  <c r="N13" i="12" s="1"/>
  <c r="I16" i="14"/>
  <c r="N17" i="12" s="1"/>
  <c r="I14" i="14"/>
  <c r="N15" i="12" s="1"/>
  <c r="V31" i="13"/>
  <c r="M20" i="12" s="1"/>
  <c r="M10" i="12"/>
  <c r="V30" i="13"/>
  <c r="M5" i="12" s="1"/>
  <c r="V29" i="13"/>
  <c r="M11" i="12" s="1"/>
  <c r="V17" i="13"/>
  <c r="M21" i="12" s="1"/>
  <c r="L23" i="12"/>
  <c r="M19" i="12"/>
  <c r="N5" i="12"/>
  <c r="O20" i="12" l="1"/>
  <c r="P20" i="12" s="1"/>
  <c r="O9" i="12"/>
  <c r="O22" i="12"/>
  <c r="Q22" i="12" s="1"/>
  <c r="L32" i="4" s="1"/>
  <c r="O10" i="12"/>
  <c r="P10" i="12" s="1"/>
  <c r="O18" i="12"/>
  <c r="Q18" i="12" s="1"/>
  <c r="L28" i="4" s="1"/>
  <c r="O8" i="12"/>
  <c r="P8" i="12" s="1"/>
  <c r="O16" i="12"/>
  <c r="P16" i="12" s="1"/>
  <c r="O7" i="12"/>
  <c r="Q7" i="12" s="1"/>
  <c r="L17" i="4" s="1"/>
  <c r="O21" i="12"/>
  <c r="Q21" i="12" s="1"/>
  <c r="L31" i="4" s="1"/>
  <c r="O19" i="12"/>
  <c r="P19" i="12" s="1"/>
  <c r="O11" i="12"/>
  <c r="P11" i="12" s="1"/>
  <c r="O12" i="12"/>
  <c r="P12" i="12" s="1"/>
  <c r="O15" i="12"/>
  <c r="P15" i="12" s="1"/>
  <c r="O17" i="12"/>
  <c r="P17" i="12" s="1"/>
  <c r="O6" i="12"/>
  <c r="Q6" i="12" s="1"/>
  <c r="L16" i="4" s="1"/>
  <c r="O5" i="12"/>
  <c r="O13" i="12"/>
  <c r="P13" i="12" s="1"/>
  <c r="P9" i="12"/>
  <c r="V33" i="13"/>
  <c r="M23" i="12"/>
  <c r="I22" i="14"/>
  <c r="N23" i="12"/>
  <c r="P14" i="12"/>
  <c r="Q20" i="12" l="1"/>
  <c r="L30" i="4" s="1"/>
  <c r="M30" i="4" s="1"/>
  <c r="N30" i="4" s="1"/>
  <c r="Z30" i="4" s="1"/>
  <c r="AA30" i="4" s="1"/>
  <c r="P22" i="12"/>
  <c r="Q10" i="12"/>
  <c r="L20" i="4" s="1"/>
  <c r="M20" i="4" s="1"/>
  <c r="N20" i="4" s="1"/>
  <c r="Z20" i="4" s="1"/>
  <c r="Q8" i="12"/>
  <c r="L18" i="4" s="1"/>
  <c r="M18" i="4" s="1"/>
  <c r="N18" i="4" s="1"/>
  <c r="P6" i="12"/>
  <c r="Q13" i="12"/>
  <c r="L23" i="4" s="1"/>
  <c r="O23" i="12"/>
  <c r="O24" i="12" s="1"/>
  <c r="Q17" i="12"/>
  <c r="L27" i="4" s="1"/>
  <c r="P21" i="12"/>
  <c r="Q15" i="12"/>
  <c r="L25" i="4" s="1"/>
  <c r="P7" i="12"/>
  <c r="Q11" i="12"/>
  <c r="L21" i="4" s="1"/>
  <c r="Q12" i="12"/>
  <c r="L22" i="4" s="1"/>
  <c r="Q16" i="12"/>
  <c r="L26" i="4" s="1"/>
  <c r="Q9" i="12"/>
  <c r="L19" i="4" s="1"/>
  <c r="M24" i="4"/>
  <c r="N24" i="4" s="1"/>
  <c r="P18" i="12"/>
  <c r="Q19" i="12"/>
  <c r="Q5" i="12"/>
  <c r="L15" i="4" s="1"/>
  <c r="P5" i="12"/>
  <c r="L29" i="4" l="1"/>
  <c r="M29" i="4" s="1"/>
  <c r="N29" i="4" s="1"/>
  <c r="Z29" i="4" s="1"/>
  <c r="AA29" i="4" s="1"/>
  <c r="M15" i="4"/>
  <c r="M32" i="4"/>
  <c r="N32" i="4" s="1"/>
  <c r="M16" i="4"/>
  <c r="N16" i="4" s="1"/>
  <c r="Z16" i="4" s="1"/>
  <c r="AA16" i="4" s="1"/>
  <c r="AA20" i="4"/>
  <c r="M23" i="4"/>
  <c r="N23" i="4" s="1"/>
  <c r="Z23" i="4" s="1"/>
  <c r="AA23" i="4" s="1"/>
  <c r="M26" i="4"/>
  <c r="N26" i="4" s="1"/>
  <c r="M25" i="4"/>
  <c r="N25" i="4" s="1"/>
  <c r="M19" i="4"/>
  <c r="N19" i="4" s="1"/>
  <c r="M22" i="4"/>
  <c r="N22" i="4" s="1"/>
  <c r="M21" i="4"/>
  <c r="N21" i="4" s="1"/>
  <c r="M27" i="4"/>
  <c r="N27" i="4" s="1"/>
  <c r="Z27" i="4" s="1"/>
  <c r="AA27" i="4" s="1"/>
  <c r="M31" i="4"/>
  <c r="N31" i="4" s="1"/>
  <c r="Z24" i="4"/>
  <c r="AA24" i="4" s="1"/>
  <c r="M17" i="4"/>
  <c r="N17" i="4" s="1"/>
  <c r="Q23" i="12"/>
  <c r="Q24" i="12" s="1"/>
  <c r="Z18" i="4"/>
  <c r="AA18" i="4" s="1"/>
  <c r="M28" i="4"/>
  <c r="N28" i="4" s="1"/>
  <c r="P23" i="12"/>
  <c r="P24" i="12" s="1"/>
  <c r="L33" i="4" l="1"/>
  <c r="L34" i="4" s="1"/>
  <c r="Z32" i="4"/>
  <c r="AA32" i="4" s="1"/>
  <c r="Z22" i="4"/>
  <c r="AA22" i="4" s="1"/>
  <c r="Z31" i="4"/>
  <c r="AA31" i="4" s="1"/>
  <c r="Z25" i="4"/>
  <c r="AA25" i="4" s="1"/>
  <c r="Z21" i="4"/>
  <c r="AA21" i="4" s="1"/>
  <c r="Z19" i="4"/>
  <c r="AA19" i="4" s="1"/>
  <c r="Z26" i="4"/>
  <c r="AA26" i="4" s="1"/>
  <c r="Z17" i="4"/>
  <c r="AA17" i="4" s="1"/>
  <c r="Z28" i="4"/>
  <c r="AA28" i="4" s="1"/>
  <c r="M33" i="4" l="1"/>
  <c r="N15" i="4"/>
  <c r="Z33" i="4" s="1"/>
  <c r="R33" i="4" l="1"/>
  <c r="N33" i="4"/>
  <c r="N34" i="4" s="1"/>
  <c r="S33" i="4" l="1"/>
  <c r="B57" i="4" s="1"/>
  <c r="Z34" i="4"/>
  <c r="AA15" i="4"/>
  <c r="T33" i="4" l="1"/>
  <c r="C56" i="4" s="1"/>
  <c r="C57" i="4" s="1"/>
  <c r="AA33" i="4"/>
  <c r="AB15" i="4" s="1"/>
  <c r="AA34" i="4" l="1"/>
  <c r="AB25" i="4"/>
  <c r="AB28" i="4"/>
  <c r="AB24" i="4"/>
  <c r="AB27" i="4"/>
  <c r="AB21" i="4"/>
  <c r="AB17" i="4"/>
  <c r="AB30" i="4"/>
  <c r="AB26" i="4"/>
  <c r="AB22" i="4"/>
  <c r="AB20" i="4"/>
  <c r="AB23" i="4"/>
  <c r="AB31" i="4"/>
  <c r="AB19" i="4"/>
  <c r="AB32" i="4"/>
  <c r="AB18" i="4"/>
  <c r="AB16" i="4"/>
  <c r="AB29" i="4"/>
  <c r="AB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Nuñez Cisternas</author>
  </authors>
  <commentList>
    <comment ref="L37" authorId="0" shapeId="0" xr:uid="{FDDB5251-A78E-4164-915F-8C9AA596E15A}">
      <text>
        <r>
          <rPr>
            <sz val="9"/>
            <color indexed="81"/>
            <rFont val="Tahoma"/>
            <family val="2"/>
          </rPr>
          <t>Viene dado en la Ley de Presupuesto</t>
        </r>
      </text>
    </comment>
  </commentList>
</comments>
</file>

<file path=xl/sharedStrings.xml><?xml version="1.0" encoding="utf-8"?>
<sst xmlns="http://schemas.openxmlformats.org/spreadsheetml/2006/main" count="1012" uniqueCount="443">
  <si>
    <t>Total general</t>
  </si>
  <si>
    <t>Cod</t>
  </si>
  <si>
    <t>UCH</t>
  </si>
  <si>
    <t>USA</t>
  </si>
  <si>
    <t>UVA</t>
  </si>
  <si>
    <t>TAL</t>
  </si>
  <si>
    <t>FRO</t>
  </si>
  <si>
    <t>ULS</t>
  </si>
  <si>
    <t>UBB</t>
  </si>
  <si>
    <t>ANT</t>
  </si>
  <si>
    <t>UTA</t>
  </si>
  <si>
    <t>Institución</t>
  </si>
  <si>
    <t>UNIVERSIDAD DE CHILE</t>
  </si>
  <si>
    <t>UNIVERSIDAD DE SANTIAGO DE CHILE</t>
  </si>
  <si>
    <t>UNIVERSIDAD DE VALPARAÍSO</t>
  </si>
  <si>
    <t>UNIVERSIDAD DE TALCA</t>
  </si>
  <si>
    <t>UNIVERSIDAD DE LA FRONTERA</t>
  </si>
  <si>
    <t>UNIVERSIDAD DE LA SERENA</t>
  </si>
  <si>
    <t>UNIVERSIDAD DEL BÍO-BÍO</t>
  </si>
  <si>
    <t>UNIVERSIDAD DE ANTOFAGASTA</t>
  </si>
  <si>
    <t>UNIVERSIDAD DE TARAPACÁ</t>
  </si>
  <si>
    <t>Tipo IES</t>
  </si>
  <si>
    <t>CRUCH-ESTATAL</t>
  </si>
  <si>
    <t>UAP</t>
  </si>
  <si>
    <t>ATA</t>
  </si>
  <si>
    <t>ULA</t>
  </si>
  <si>
    <t>MAG</t>
  </si>
  <si>
    <t>UPA</t>
  </si>
  <si>
    <t>UMC</t>
  </si>
  <si>
    <t>UTM</t>
  </si>
  <si>
    <t>UNIVERSIDAD ARTURO PRAT</t>
  </si>
  <si>
    <t>UNIVERSIDAD DE ATACAMA</t>
  </si>
  <si>
    <t>UNIVERSIDAD DE LOS LAGOS</t>
  </si>
  <si>
    <t>UNIVERSIDAD DE MAGALLANES</t>
  </si>
  <si>
    <t>UNIVERSIDAD DE PLAYA ANCHA CS. EDUCACIÓN</t>
  </si>
  <si>
    <t>UNIVERSIDAD METROPOLITANA DE CS.DE LA EDUCACIÓN</t>
  </si>
  <si>
    <t>UNIVERSIDAD TECNOLÓGICA METROPOLITANA</t>
  </si>
  <si>
    <t>Total Conjunto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</si>
  <si>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</si>
  <si>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</si>
  <si>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</si>
  <si>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</si>
  <si>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</si>
  <si>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</si>
  <si>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</si>
  <si>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</si>
  <si>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</si>
  <si>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</si>
  <si>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</si>
  <si>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</si>
  <si>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</si>
  <si>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</si>
  <si>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</si>
  <si>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</si>
  <si>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</si>
  <si>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</si>
  <si>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</si>
  <si>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</si>
  <si>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</si>
  <si>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</si>
  <si>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</si>
  <si>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</si>
  <si>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</si>
  <si>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</si>
  <si>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</si>
  <si>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CRUCH-ESTATALCategoría I</t>
  </si>
  <si>
    <t>CRUCH-ESTATALCategoría II</t>
  </si>
  <si>
    <t>CRUCH-ESTATALCategoría III</t>
  </si>
  <si>
    <t>Factor</t>
  </si>
  <si>
    <t>Concatenar</t>
  </si>
  <si>
    <t>N° IES</t>
  </si>
  <si>
    <t>Montos</t>
  </si>
  <si>
    <t>Estatal</t>
  </si>
  <si>
    <t>M$</t>
  </si>
  <si>
    <t>Monto Categ</t>
  </si>
  <si>
    <t>AFI 2016</t>
  </si>
  <si>
    <t>Acreditación</t>
  </si>
  <si>
    <t>Total Elemento Mixto</t>
  </si>
  <si>
    <t>Elemento Desempeño</t>
  </si>
  <si>
    <t>% Por tipo de IES</t>
  </si>
  <si>
    <t>Monto por Tipo IES-Categoría</t>
  </si>
  <si>
    <t>Suma Promedio por Tipo IES-Categoría</t>
  </si>
  <si>
    <t>Total por IES</t>
  </si>
  <si>
    <t>Redondear por IES</t>
  </si>
  <si>
    <t>16/19</t>
  </si>
  <si>
    <t>(20+21)/4)</t>
  </si>
  <si>
    <t>Redondear</t>
  </si>
  <si>
    <t>% por IES</t>
  </si>
  <si>
    <t>U. DE O'HIGGINS</t>
  </si>
  <si>
    <t>URO</t>
  </si>
  <si>
    <t>U. DE AYSÉN</t>
  </si>
  <si>
    <t>URY</t>
  </si>
  <si>
    <t>Categoría III</t>
  </si>
  <si>
    <t>Tutoras
Universidades
M$</t>
  </si>
  <si>
    <t>Tutoras
CFT
M$</t>
  </si>
  <si>
    <t>Tutora Universidades</t>
  </si>
  <si>
    <t>Tutora CFT</t>
  </si>
  <si>
    <t>Tipos IES</t>
  </si>
  <si>
    <t>Complejidad Institucional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</si>
  <si>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</si>
  <si>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</si>
  <si>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</si>
  <si>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</si>
  <si>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</si>
  <si>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</si>
  <si>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</si>
  <si>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</si>
  <si>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</si>
  <si>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Total Complejidad</t>
  </si>
  <si>
    <t>UNIVERSIDAD DE PLAYA ANCHA DE CIENCIAS DE LA EDUCACIÓN</t>
  </si>
  <si>
    <t>UNIVERSIDAD METROPOLITANA DE CIENCIAS DE LA EDUCACIÓN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</si>
  <si>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</si>
  <si>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</si>
  <si>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</si>
  <si>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</si>
  <si>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</si>
  <si>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</si>
  <si>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UNIVERSIDAD DE TARAPACA</t>
  </si>
  <si>
    <t>UNIVERSIDAD DE VALPARAISO</t>
  </si>
  <si>
    <t>UNIVERSIDAD DEL BIO-BIO</t>
  </si>
  <si>
    <t>UNIVERSIDAD DE PLAYA ANCHA DE CIENCIAS DE LA EDUCACION</t>
  </si>
  <si>
    <t>UNIVERSIDAD METROPOLITANA DE CIENCIAS DE LA EDUCACION</t>
  </si>
  <si>
    <t>UNIVERSIDAD TECNOLOGICA METROPOLITANA</t>
  </si>
  <si>
    <t>Monto Acreditaciones</t>
  </si>
  <si>
    <t>Monto Académicos JC Doctorado</t>
  </si>
  <si>
    <t>N° Doctorados Acreditados</t>
  </si>
  <si>
    <t>UNIVERSIDAD DE O'HIGGINS</t>
  </si>
  <si>
    <t>UNIVERSIDAD DE AYSÉN</t>
  </si>
  <si>
    <t>AFI 2016 Reajustado</t>
  </si>
  <si>
    <t>Redondeado
M$</t>
  </si>
  <si>
    <t>Total Asignación
M$</t>
  </si>
  <si>
    <t>Elemento Mixto</t>
  </si>
  <si>
    <t>Doctorado Conjunto Años Acreditación</t>
  </si>
  <si>
    <t>Doctorado Individual Años Acreditación</t>
  </si>
  <si>
    <t>Total individual</t>
  </si>
  <si>
    <t>Total General</t>
  </si>
  <si>
    <t>Conj &gt;=5 años</t>
  </si>
  <si>
    <t>Transferencias Corrientes</t>
  </si>
  <si>
    <t>Transferencias de Capital</t>
  </si>
  <si>
    <t>AIUE-Universidades Estatales</t>
  </si>
  <si>
    <t>CÁLCULO AIUE, CATEGORÍAS</t>
  </si>
  <si>
    <t>Indicadores y Montos AIUE</t>
  </si>
  <si>
    <t>a)</t>
  </si>
  <si>
    <t>a.1)</t>
  </si>
  <si>
    <t>a.2)</t>
  </si>
  <si>
    <t>a.3)</t>
  </si>
  <si>
    <t>a.4)</t>
  </si>
  <si>
    <t>AFI 2016 Reajustado 3,5%</t>
  </si>
  <si>
    <t>b.1)</t>
  </si>
  <si>
    <t>b.2)</t>
  </si>
  <si>
    <t>b.3)</t>
  </si>
  <si>
    <t>b.4)</t>
  </si>
  <si>
    <t>b.5)</t>
  </si>
  <si>
    <t>b.6)</t>
  </si>
  <si>
    <t>b.7)</t>
  </si>
  <si>
    <t>b.8)</t>
  </si>
  <si>
    <t>c.1)</t>
  </si>
  <si>
    <t>c.2)</t>
  </si>
  <si>
    <t>c.3)</t>
  </si>
  <si>
    <t>c.4)</t>
  </si>
  <si>
    <t>d.1)</t>
  </si>
  <si>
    <t>d.2)</t>
  </si>
  <si>
    <t>d.3)</t>
  </si>
  <si>
    <t>d.4)</t>
  </si>
  <si>
    <t>e.1)</t>
  </si>
  <si>
    <t>e.2)</t>
  </si>
  <si>
    <t>e.3)</t>
  </si>
  <si>
    <t>e.4)</t>
  </si>
  <si>
    <t>f.1)</t>
  </si>
  <si>
    <t>f.2)</t>
  </si>
  <si>
    <t>f.3)</t>
  </si>
  <si>
    <t>f.4)</t>
  </si>
  <si>
    <t>AIUE</t>
  </si>
  <si>
    <t>Cod_DFI</t>
  </si>
  <si>
    <t>Total AIUE</t>
  </si>
  <si>
    <t>Titulo I: Línea General</t>
  </si>
  <si>
    <t>b)</t>
  </si>
  <si>
    <t>Instituciones</t>
  </si>
  <si>
    <t>U.de Chile</t>
  </si>
  <si>
    <t>U. de Santiago</t>
  </si>
  <si>
    <t>U. de Valparaíso</t>
  </si>
  <si>
    <t>U. de Antofagasta</t>
  </si>
  <si>
    <t>U. de la Serena</t>
  </si>
  <si>
    <t>U. de Bio Bio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</si>
  <si>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</si>
  <si>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</si>
  <si>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</si>
  <si>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</si>
  <si>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</si>
  <si>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</si>
  <si>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</t>
  </si>
  <si>
    <t>U. de Playa Ancha</t>
  </si>
  <si>
    <t>U.Tecnológica Metropolitana</t>
  </si>
  <si>
    <t>U. de Los Lagos</t>
  </si>
  <si>
    <t>U. de O'Higgins</t>
  </si>
  <si>
    <t>U. de Aysén</t>
  </si>
  <si>
    <t>COD</t>
  </si>
  <si>
    <t>a) (N° Ac. JC 2021/Mat Total 2021)*100</t>
  </si>
  <si>
    <t>b) (N° JCE Doc 2021/JCE 2021)</t>
  </si>
  <si>
    <t>c) ((N° JCE Doc 2021+N° JCE Mg 2021+N° JCE Esp Med 2021)/JCE 2021)</t>
  </si>
  <si>
    <t>d) N° Public. Scopus 2021/JCE 2021</t>
  </si>
  <si>
    <t>e) N° Public. Scopus 2021/N° JCE Doc 2021</t>
  </si>
  <si>
    <t>f) (N° Citas 2017-2021)/(N° Public. Scopus 2017-2021)</t>
  </si>
  <si>
    <t>g) (N° Est 1er año Q1, Q2, Q3 2021/Mat 1er nivel 2021)</t>
  </si>
  <si>
    <t>h) (Mat 1er nivel 2020 Retenida 2021/Mat 1er nivel 2020)</t>
  </si>
  <si>
    <t>i) (Mat Ret 4° Año 2021/Mat 1er año 2018)</t>
  </si>
  <si>
    <t>j) Mat Graduados 2021 Doctorados/Mat 1er año 2017 Doctorados</t>
  </si>
  <si>
    <t>TOTAL MAT PhD 2017</t>
  </si>
  <si>
    <t>k) (N° Patentes solicitadas PCT 2021 +2020)*1000/(JCE 2021))</t>
  </si>
  <si>
    <t>Solicitud_ pat_nac_2022</t>
  </si>
  <si>
    <t>I. Base</t>
  </si>
  <si>
    <t>III. Pedagogía</t>
  </si>
  <si>
    <t>TITULO I</t>
  </si>
  <si>
    <t>Título II</t>
  </si>
  <si>
    <t>TOTAL</t>
  </si>
  <si>
    <t>f)</t>
  </si>
  <si>
    <t>g)</t>
  </si>
  <si>
    <t>h)</t>
  </si>
  <si>
    <t>i)</t>
  </si>
  <si>
    <t>a) Monto</t>
  </si>
  <si>
    <t>j)</t>
  </si>
  <si>
    <t>Promedio de año acreditación de carreras FID.</t>
  </si>
  <si>
    <t>% Matrícula FID respecto total matrícula</t>
  </si>
  <si>
    <t>N° Programas</t>
  </si>
  <si>
    <t>Oferta de disciplinas FID (12 disciplinas)</t>
  </si>
  <si>
    <t>Categoría Respuesta (Puntajes)</t>
  </si>
  <si>
    <t>Participación</t>
  </si>
  <si>
    <t>Criterio</t>
  </si>
  <si>
    <t>% de matricula FID, respecto del total pregrado IES</t>
  </si>
  <si>
    <t>Peso (%)</t>
  </si>
  <si>
    <t>Límite inferior</t>
  </si>
  <si>
    <t>Límite superior</t>
  </si>
  <si>
    <t>Puntaje</t>
  </si>
  <si>
    <t>Más 0% a menos 10%</t>
  </si>
  <si>
    <t>10% a menos 30%</t>
  </si>
  <si>
    <t>30% a menos 50%</t>
  </si>
  <si>
    <t>50% a menos 75%</t>
  </si>
  <si>
    <t>75% a 100%</t>
  </si>
  <si>
    <t>Puntaje Final
Matrícula</t>
  </si>
  <si>
    <t>Oferta de disciplinas FID</t>
  </si>
  <si>
    <t>N° Disciplinas</t>
  </si>
  <si>
    <t>Más 0% a menos 20%</t>
  </si>
  <si>
    <t>20% a menos 40%</t>
  </si>
  <si>
    <t>40% a menos 65%</t>
  </si>
  <si>
    <t>65% a menos 80%</t>
  </si>
  <si>
    <t>80% a 100%</t>
  </si>
  <si>
    <t>menos de 3 años de acreditación en promedio de todas las carreras FID</t>
  </si>
  <si>
    <t>3,0 a menos de 4 años de acreditación en promedio</t>
  </si>
  <si>
    <t>4,0 a menos de 5 años de acreditación en promedio</t>
  </si>
  <si>
    <t>5,0 a menos de 6 años de acreditación en promedio</t>
  </si>
  <si>
    <t>entre 6,0 y 7,0 años de acreditación en promedio de todas las carreras FID</t>
  </si>
  <si>
    <t>Suma años Acreditaciones</t>
  </si>
  <si>
    <t>Puntaje Final
Oferta de disciplinas FID</t>
  </si>
  <si>
    <t>Puntaje Final
Promedio de año acreditación de carreras FID</t>
  </si>
  <si>
    <t>Total Puntajes</t>
  </si>
  <si>
    <t>Proporción por IES Indicadores Pedagogía</t>
  </si>
  <si>
    <t>Monto por IES en M$</t>
  </si>
  <si>
    <t>MONTO PEDAGOGÍA</t>
  </si>
  <si>
    <t>proporción índice Matrícula</t>
  </si>
  <si>
    <t>proporción índice académicos</t>
  </si>
  <si>
    <t>Monto Índices
M$</t>
  </si>
  <si>
    <t xml:space="preserve">MONTO INDICE DIVIA </t>
  </si>
  <si>
    <t>N° de disciplinas FID que imparte la Intitución</t>
  </si>
  <si>
    <t>Indice estudiantes comparado 2019-2023</t>
  </si>
  <si>
    <t>NOMBRE INSTITUCIÓN</t>
  </si>
  <si>
    <t>UNIVERSIDAD DE AYSEN</t>
  </si>
  <si>
    <t>COD IES</t>
  </si>
  <si>
    <t>Indice PAC comparado 2019-2023</t>
  </si>
  <si>
    <t>COD SIES</t>
  </si>
  <si>
    <t>Indicador de brecha de género, para acceso a carreras STEM y pedagogías afines.</t>
  </si>
  <si>
    <t>Indicador de brecha de género en JCE en contratación con grado de Doctor.</t>
  </si>
  <si>
    <t xml:space="preserve">AFI 2016 </t>
  </si>
  <si>
    <t>AFI Total  2016 (Reajustado 3,5%)</t>
  </si>
  <si>
    <t>Tutoras CFT Estatales (50.000 c/u)</t>
  </si>
  <si>
    <t>Elemento Mixto Total</t>
  </si>
  <si>
    <t>IV. Indice Género</t>
  </si>
  <si>
    <t>Monto por IES Índice Género
M$</t>
  </si>
  <si>
    <t>c)</t>
  </si>
  <si>
    <t>INDICADORES DE GÉNERO</t>
  </si>
  <si>
    <t>Fuente: SIES - DIVIA, MINEDUC</t>
  </si>
  <si>
    <t>Elemento Refuerzo</t>
  </si>
  <si>
    <t>TOTAL
REFUERZO
 M$</t>
  </si>
  <si>
    <t>TOTAL
REFUERZO
Redondeado
 M$</t>
  </si>
  <si>
    <t>TOTAL
REFUERZO
Truncado
 M$</t>
  </si>
  <si>
    <t>% Matrícula DIF respecto a pregrado</t>
  </si>
  <si>
    <t>Todas las IES que tenga menos del 10% en el % Matrícula FID respecto total matrícula pregrado no participa en este cálculo</t>
  </si>
  <si>
    <t>Truncar por IES</t>
  </si>
  <si>
    <t>Total 
TITULO I
M$</t>
  </si>
  <si>
    <t>Total 
TITULO I
Sin decimales 
M$</t>
  </si>
  <si>
    <t>Total Elemento Mixto
M$</t>
  </si>
  <si>
    <t>Total Elemento Desempeño
M$</t>
  </si>
  <si>
    <t>Monto anticipo AIUE</t>
  </si>
  <si>
    <t>Porcentaje de Anticipo</t>
  </si>
  <si>
    <t>Recursos AIUE menos fondo acreditación</t>
  </si>
  <si>
    <t>Fondo de Acreditación (3 años)</t>
  </si>
  <si>
    <t>Recursos Totales Aporte Institucional U. Estatales</t>
  </si>
  <si>
    <t>Saldo Total M$</t>
  </si>
  <si>
    <t>%</t>
  </si>
  <si>
    <t>Monto Transferencias de Capital
 M$</t>
  </si>
  <si>
    <t>Monto Transferencias Corrientes M$</t>
  </si>
  <si>
    <t>ANTICIPO</t>
  </si>
  <si>
    <t>Total 
Asignación
AIUE
M$</t>
  </si>
  <si>
    <t>Monto 
TÍTULO II</t>
  </si>
  <si>
    <t>Total 
TÍTULO I
Sin decimales
M$</t>
  </si>
  <si>
    <t>Título II: Mejoramiento de la Calidad</t>
  </si>
  <si>
    <t>Título I: Línea General</t>
  </si>
  <si>
    <t>Miles de Pesos</t>
  </si>
  <si>
    <t>Anticipo Aporte Institucional Universidades Estatales (AIUE)</t>
  </si>
  <si>
    <r>
      <t xml:space="preserve">b)  </t>
    </r>
    <r>
      <rPr>
        <sz val="8"/>
        <color theme="1"/>
        <rFont val="Aptos Narrow"/>
        <family val="2"/>
      </rPr>
      <t>↑</t>
    </r>
  </si>
  <si>
    <t xml:space="preserve">e) </t>
  </si>
  <si>
    <t>k)</t>
  </si>
  <si>
    <t xml:space="preserve">c) Proporción </t>
  </si>
  <si>
    <t>Monto
II. Compensación per cápita
M$</t>
  </si>
  <si>
    <t>3.a.5</t>
  </si>
  <si>
    <t>3.b.4</t>
  </si>
  <si>
    <t>3.c.5</t>
  </si>
  <si>
    <r>
      <t xml:space="preserve">4.a.3  </t>
    </r>
    <r>
      <rPr>
        <sz val="8"/>
        <color theme="1"/>
        <rFont val="Aptos Narrow"/>
        <family val="2"/>
      </rPr>
      <t>↑</t>
    </r>
  </si>
  <si>
    <t>4.a.5</t>
  </si>
  <si>
    <t>4.b.5</t>
  </si>
  <si>
    <t>4.a.4</t>
  </si>
  <si>
    <t>4.b.4</t>
  </si>
  <si>
    <t>Puntaje Total
Brecha género</t>
  </si>
  <si>
    <r>
      <t xml:space="preserve">4.b.3  </t>
    </r>
    <r>
      <rPr>
        <sz val="8"/>
        <color theme="1"/>
        <rFont val="Aptos Narrow"/>
        <family val="2"/>
      </rPr>
      <t>↑</t>
    </r>
  </si>
  <si>
    <t>4.a.2</t>
  </si>
  <si>
    <t>4.b.2</t>
  </si>
  <si>
    <t>Miles de pesos</t>
  </si>
  <si>
    <t>Aporte Institucional Universidades Estatales (AIUE)</t>
  </si>
  <si>
    <t>Nota: filtro previo: programas de FID "con ingreso a primer año" en el año anterior</t>
  </si>
  <si>
    <t xml:space="preserve"> </t>
  </si>
  <si>
    <t>&gt; 0</t>
  </si>
  <si>
    <t>Monto Elemento Refuerzo</t>
  </si>
  <si>
    <t>3.b.1</t>
  </si>
  <si>
    <t>3.b.2</t>
  </si>
  <si>
    <t>I. Base (40%)</t>
  </si>
  <si>
    <t>II. Brecha per cápita (40%)</t>
  </si>
  <si>
    <t>III. Pedagogía (5%)</t>
  </si>
  <si>
    <t>IV. Indices brecha de género (15%)</t>
  </si>
  <si>
    <t>Total Elemento Refuerzo
M$</t>
  </si>
  <si>
    <t>Calidad (Acreditación)</t>
  </si>
  <si>
    <t>II. Compesanción per cápita AIUE</t>
  </si>
  <si>
    <t>proporción índice brecha bénero matrícula ponderado</t>
  </si>
  <si>
    <t>proporción índice brecha género académicos
ponderado</t>
  </si>
  <si>
    <t>Anticipo</t>
  </si>
  <si>
    <t>Saldo</t>
  </si>
  <si>
    <t>Monto Transferencias Corrientes 
M$</t>
  </si>
  <si>
    <t>Código DFI</t>
  </si>
  <si>
    <t>Región Universidad
(casa central)</t>
  </si>
  <si>
    <t>Región Metropolitana de Santiago</t>
  </si>
  <si>
    <t>Región de Antofagasta</t>
  </si>
  <si>
    <t>Región de La Araucanía</t>
  </si>
  <si>
    <t>Región del Maule</t>
  </si>
  <si>
    <t>Región de Arica y Parinacota</t>
  </si>
  <si>
    <t>Región de Valparaíso</t>
  </si>
  <si>
    <t>Región del Bío - Bío</t>
  </si>
  <si>
    <t>Región de Coquimbo</t>
  </si>
  <si>
    <t>Región de Tarapacá</t>
  </si>
  <si>
    <t>Región de Atacama</t>
  </si>
  <si>
    <t>región de Magallanes</t>
  </si>
  <si>
    <t>Región de O'Higgins</t>
  </si>
  <si>
    <t xml:space="preserve">Región de Aysén </t>
  </si>
  <si>
    <t>Anticipo AIUE</t>
  </si>
  <si>
    <t>AIUE Calidad (Titulo II)</t>
  </si>
  <si>
    <t>Saldo AIUE</t>
  </si>
  <si>
    <t>Saldo asignaciones</t>
  </si>
  <si>
    <t>PRESUPUESTO ASIGNACION (M$)</t>
  </si>
  <si>
    <t>SALDO
Título I
AIUE 2024
M$</t>
  </si>
  <si>
    <t xml:space="preserve">Decreto 
N°49-2024
Monto a Distribuir
M$
</t>
  </si>
  <si>
    <t>Decreto
N°159-2024
Monto a Distribuir
Título I
M$</t>
  </si>
  <si>
    <t>Decreto
N°875-2024
Monto a Distribuir
Título II
M$</t>
  </si>
  <si>
    <t>Monto Anticipo 2025
M$</t>
  </si>
  <si>
    <t>Monto M$ Ley de Presupuestos 2025</t>
  </si>
  <si>
    <t xml:space="preserve">Monto Anticipo 2025
(sin decimales)
M$ </t>
  </si>
  <si>
    <t>Anticipo 2025</t>
  </si>
  <si>
    <t>Anticipo 2025 M$</t>
  </si>
  <si>
    <t>Presupuesto 2025</t>
  </si>
  <si>
    <t>AIUE 2025</t>
  </si>
  <si>
    <t>Solicitud_ pat_nac_2023</t>
  </si>
  <si>
    <t>JC_2023</t>
  </si>
  <si>
    <t>MAT_2023</t>
  </si>
  <si>
    <t>JCE Doctor 2023</t>
  </si>
  <si>
    <t>JCE 2023</t>
  </si>
  <si>
    <t>JCE Magister 2023</t>
  </si>
  <si>
    <t>JCE Esp. Med._Odont. 2023</t>
  </si>
  <si>
    <t>Publicaciones  (citables)
2023</t>
  </si>
  <si>
    <t>Citas 2019_2023</t>
  </si>
  <si>
    <t>Publicaciones 2019-2023 (citables)</t>
  </si>
  <si>
    <t>Q1_Q2_Q3_MAT_1año_2023</t>
  </si>
  <si>
    <t>MAT_1año_2023(g)</t>
  </si>
  <si>
    <t>MAT_2022_Ret_1er_enMAT_2023</t>
  </si>
  <si>
    <t>MAT_2022 primer año</t>
  </si>
  <si>
    <t>MAT_2020_Ret_4to_enMAT_2023</t>
  </si>
  <si>
    <t>MAT_1año_2020(i)</t>
  </si>
  <si>
    <t>Grad_PhD_2019 al_2023</t>
  </si>
  <si>
    <t>TOTAL MAT PhD 2018</t>
  </si>
  <si>
    <t>TOTAL MAT PhD 2019</t>
  </si>
  <si>
    <t>N° Scopus 2023</t>
  </si>
  <si>
    <t>N° Doc JC 2024</t>
  </si>
  <si>
    <t>N° Acad. JC 2024</t>
  </si>
  <si>
    <t>N° Matrícula Regular Pregrado 2024</t>
  </si>
  <si>
    <t>d) Matrícula Pregrado 2024</t>
  </si>
  <si>
    <t>AIUE 2024 Título I</t>
  </si>
  <si>
    <t>Cantidad Matrícula FID 2024</t>
  </si>
  <si>
    <t>Cantidad Matrícula Total 2024</t>
  </si>
  <si>
    <t>índice brecha estudiantes (Matricula 1er año 2022)</t>
  </si>
  <si>
    <t>índice brecha estudiantes (Matricula 1er año 2023)</t>
  </si>
  <si>
    <t>índice brecha estudiantes (Matricula 1er año 2024)</t>
  </si>
  <si>
    <t>Promedio 
2022-2024</t>
  </si>
  <si>
    <t>Índice brecha Académicos (JCE Doctorado, PAC 2022)</t>
  </si>
  <si>
    <t>Índice brecha Académicos (JCE Doctorado, PAC 2023)</t>
  </si>
  <si>
    <t>Índice brecha Académicos (JCE Doctorado, PAC 2024)</t>
  </si>
  <si>
    <t>Indice Matrícula género
2022-2024 (Promedio)</t>
  </si>
  <si>
    <t>Acreditación Investigación 2024</t>
  </si>
  <si>
    <t>Acreditación Todas las Áreas 2024</t>
  </si>
  <si>
    <t>Años Acreditación Institucional 2024</t>
  </si>
  <si>
    <t>N° Doctorados Acreditados individuales 2024</t>
  </si>
  <si>
    <t>N° Doctorados Acreditados Conjunto 5 años o más 2024</t>
  </si>
  <si>
    <t>Ley de presupuestos año 2025</t>
  </si>
  <si>
    <t>Inflactor 2025</t>
  </si>
  <si>
    <t>Complejidad Institucional AIUE 2024</t>
  </si>
  <si>
    <t>Complejidad Institucional AIUE 2025</t>
  </si>
  <si>
    <t>Elemento de Desempeño 2024</t>
  </si>
  <si>
    <t>Elemento de Desempeño 2025</t>
  </si>
  <si>
    <r>
      <t xml:space="preserve">Cantidad Matrícula FID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2024</t>
    </r>
  </si>
  <si>
    <t>Elemento de Reforzamiento</t>
  </si>
  <si>
    <t>N° Publicaciones 2023</t>
  </si>
  <si>
    <t>TOTAL
COMPLEJIDAD
 M$</t>
  </si>
  <si>
    <t>TOTAL
COMPLEJIDAD
Redondeado
 M$</t>
  </si>
  <si>
    <t>TOTAL
COMPLEJIDAD
Truncado
 M$</t>
  </si>
  <si>
    <t>Indice Académicos género
2022-2024
(Promedio)</t>
  </si>
  <si>
    <t>Región de Los Lagos</t>
  </si>
  <si>
    <t>Simulación distribución recursos por institución</t>
  </si>
  <si>
    <t>Total Título I</t>
  </si>
  <si>
    <t>Título II Calidad (Acreditación)</t>
  </si>
  <si>
    <t>Ley de Presupuesto año 2025</t>
  </si>
  <si>
    <t>Unidad de Análisis y Estudios, DIVIA - SUBESUP</t>
  </si>
  <si>
    <t>TOTAL AIUE 2024</t>
  </si>
  <si>
    <t>ANTICIPO
AIUE 2024
M$</t>
  </si>
  <si>
    <t xml:space="preserve">  enero 2025</t>
  </si>
  <si>
    <t>Todas las IES que tenga menos del 10% en el % Matrícula FID, con ingreso a 1° año, respecto total matrícula pregrado no participa en este cálculo</t>
  </si>
  <si>
    <t xml:space="preserve">Dec. N° 39-2025
Monto a Distribuir
M$
</t>
  </si>
  <si>
    <t>Julio 2025</t>
  </si>
  <si>
    <t xml:space="preserve">Dex. N° 431-2025
Monto a Distribuir
M$
</t>
  </si>
  <si>
    <t xml:space="preserve">Dec. N° 101- 2025
Monto a Distribuir
M$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</si>
</sst>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"/>
    <numFmt numFmtId="168" formatCode="0.0000000"/>
    <numFmt numFmtId="169" formatCode="_-* #,##0.0000_-;\-* #,##0.0000_-;_-* &quot;-&quot;??_-;_-@_-"/>
    <numFmt numFmtId="170" formatCode="_-* #,##0.00\ _€_-;\-* #,##0.00\ _€_-;_-* &quot;-&quot;??\ _€_-;_-@_-"/>
    <numFmt numFmtId="171" formatCode="_-* #,##0.0_-;\-* #,##0.0_-;_-* &quot;-&quot;??_-;_-@_-"/>
    <numFmt numFmtId="172" formatCode="#,##0.0"/>
    <numFmt numFmtId="173" formatCode="_ * #,##0.0_ ;_ * \-#,##0.0_ ;_ * &quot;-&quot;?_ ;_ @_ "/>
    <numFmt numFmtId="174" formatCode="0.0%"/>
    <numFmt numFmtId="175" formatCode="0.000"/>
    <numFmt numFmtId="176" formatCode="_-* #,##0.000_-;\-* #,##0.000_-;_-* &quot;-&quot;??_-;_-@_-"/>
    <numFmt numFmtId="177" formatCode="_-* #,##0.000000_-;\-* #,##0.000000_-;_-* &quot;-&quot;??_-;_-@_-"/>
    <numFmt numFmtId="178" formatCode="#,##0.000"/>
    <numFmt numFmtId="179" formatCode="#,##0.00000"/>
    <numFmt numFmtId="180" formatCode="_-* #,##0.00000_-;\-* #,##0.00000_-;_-* &quot;-&quot;??_-;_-@_-"/>
    <numFmt numFmtId="181" formatCode="#,##0.0_ ;[Red]\-#,##0.0\ "/>
    <numFmt numFmtId="182" formatCode="#,##0.0_ ;\-#,##0.0\ "/>
    <numFmt numFmtId="183" formatCode="#,##0_ ;\-#,##0\ "/>
    <numFmt numFmtId="184" formatCode="0.0"/>
    <numFmt numFmtId="185" formatCode="0.0000"/>
    <numFmt numFmtId="186" formatCode="0.000000000000000000000"/>
    <numFmt numFmtId="187" formatCode="#,##0.000_ ;\-#,##0.000\ 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theme="1"/>
      <name val="Cambria"/>
      <family val="1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ptos Narrow"/>
      <family val="2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0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9EBE9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66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59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wrapText="1"/>
    </xf>
    <xf numFmtId="166" fontId="2" fillId="5" borderId="0" xfId="3" applyNumberFormat="1" applyFont="1" applyFill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0" applyNumberFormat="1"/>
    <xf numFmtId="10" fontId="2" fillId="5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7" borderId="3" xfId="0" applyFont="1" applyFill="1" applyBorder="1"/>
    <xf numFmtId="0" fontId="1" fillId="7" borderId="0" xfId="0" applyFont="1" applyFill="1"/>
    <xf numFmtId="0" fontId="2" fillId="7" borderId="0" xfId="0" applyFont="1" applyFill="1"/>
    <xf numFmtId="0" fontId="2" fillId="8" borderId="3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165" fontId="2" fillId="9" borderId="0" xfId="0" applyNumberFormat="1" applyFont="1" applyFill="1" applyAlignment="1">
      <alignment horizontal="center" wrapText="1"/>
    </xf>
    <xf numFmtId="165" fontId="2" fillId="9" borderId="5" xfId="0" applyNumberFormat="1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7" fontId="2" fillId="5" borderId="0" xfId="0" applyNumberFormat="1" applyFont="1" applyFill="1" applyAlignment="1">
      <alignment horizontal="center" wrapText="1"/>
    </xf>
    <xf numFmtId="168" fontId="2" fillId="5" borderId="0" xfId="0" applyNumberFormat="1" applyFont="1" applyFill="1" applyAlignment="1">
      <alignment horizontal="center" wrapText="1"/>
    </xf>
    <xf numFmtId="1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  <xf numFmtId="166" fontId="1" fillId="6" borderId="1" xfId="3" applyNumberFormat="1" applyFont="1" applyFill="1" applyBorder="1"/>
    <xf numFmtId="0" fontId="1" fillId="0" borderId="1" xfId="0" applyFont="1" applyBorder="1"/>
    <xf numFmtId="166" fontId="2" fillId="13" borderId="1" xfId="3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169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0" fontId="1" fillId="6" borderId="1" xfId="4" applyNumberFormat="1" applyFont="1" applyFill="1" applyBorder="1"/>
    <xf numFmtId="166" fontId="1" fillId="6" borderId="1" xfId="0" applyNumberFormat="1" applyFont="1" applyFill="1" applyBorder="1"/>
    <xf numFmtId="166" fontId="7" fillId="6" borderId="1" xfId="3" applyNumberFormat="1" applyFont="1" applyFill="1" applyBorder="1"/>
    <xf numFmtId="166" fontId="7" fillId="0" borderId="1" xfId="0" applyNumberFormat="1" applyFont="1" applyBorder="1"/>
    <xf numFmtId="0" fontId="1" fillId="0" borderId="2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6" fontId="1" fillId="2" borderId="1" xfId="3" applyNumberFormat="1" applyFont="1" applyFill="1" applyBorder="1"/>
    <xf numFmtId="0" fontId="0" fillId="0" borderId="0" xfId="0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8" xfId="0" applyFont="1" applyBorder="1"/>
    <xf numFmtId="0" fontId="1" fillId="0" borderId="9" xfId="0" applyFont="1" applyBorder="1"/>
    <xf numFmtId="0" fontId="0" fillId="0" borderId="9" xfId="0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171" fontId="2" fillId="5" borderId="0" xfId="3" applyNumberFormat="1" applyFont="1" applyFill="1" applyAlignment="1">
      <alignment horizontal="center" wrapText="1"/>
    </xf>
    <xf numFmtId="0" fontId="10" fillId="0" borderId="0" xfId="0" applyFont="1" applyAlignment="1">
      <alignment horizontal="center"/>
    </xf>
    <xf numFmtId="171" fontId="1" fillId="0" borderId="0" xfId="3" applyNumberFormat="1" applyFont="1"/>
    <xf numFmtId="0" fontId="5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9" fontId="2" fillId="5" borderId="0" xfId="4" applyFont="1" applyFill="1" applyAlignment="1">
      <alignment horizontal="center" wrapText="1"/>
    </xf>
    <xf numFmtId="17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6" fillId="15" borderId="1" xfId="0" applyFont="1" applyFill="1" applyBorder="1" applyAlignment="1">
      <alignment horizontal="center" vertical="center" wrapText="1"/>
    </xf>
    <xf numFmtId="166" fontId="17" fillId="0" borderId="1" xfId="3" applyNumberFormat="1" applyFont="1" applyBorder="1"/>
    <xf numFmtId="166" fontId="2" fillId="0" borderId="1" xfId="3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7" fillId="0" borderId="15" xfId="3" applyNumberFormat="1" applyFont="1" applyBorder="1"/>
    <xf numFmtId="166" fontId="7" fillId="0" borderId="28" xfId="3" applyNumberFormat="1" applyFont="1" applyBorder="1"/>
    <xf numFmtId="0" fontId="2" fillId="0" borderId="0" xfId="0" applyFont="1" applyAlignment="1">
      <alignment vertical="center"/>
    </xf>
    <xf numFmtId="0" fontId="0" fillId="12" borderId="0" xfId="0" applyFill="1"/>
    <xf numFmtId="0" fontId="0" fillId="12" borderId="0" xfId="0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4" fillId="0" borderId="3" xfId="0" applyNumberFormat="1" applyFont="1" applyBorder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9" fontId="2" fillId="0" borderId="1" xfId="4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4" fontId="0" fillId="0" borderId="1" xfId="4" applyNumberFormat="1" applyFont="1" applyBorder="1" applyAlignment="1">
      <alignment vertical="center"/>
    </xf>
    <xf numFmtId="174" fontId="0" fillId="0" borderId="1" xfId="4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6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0" fillId="0" borderId="1" xfId="3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76" fontId="0" fillId="0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34" xfId="0" applyFont="1" applyBorder="1"/>
    <xf numFmtId="0" fontId="2" fillId="0" borderId="16" xfId="0" applyFont="1" applyBorder="1"/>
    <xf numFmtId="0" fontId="2" fillId="0" borderId="14" xfId="0" applyFont="1" applyBorder="1"/>
    <xf numFmtId="0" fontId="2" fillId="0" borderId="17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7" xfId="0" applyBorder="1"/>
    <xf numFmtId="0" fontId="0" fillId="0" borderId="50" xfId="0" applyBorder="1"/>
    <xf numFmtId="0" fontId="0" fillId="0" borderId="2" xfId="0" applyBorder="1"/>
    <xf numFmtId="0" fontId="0" fillId="0" borderId="6" xfId="0" applyBorder="1"/>
    <xf numFmtId="0" fontId="0" fillId="12" borderId="6" xfId="0" applyFill="1" applyBorder="1"/>
    <xf numFmtId="0" fontId="0" fillId="0" borderId="48" xfId="0" applyBorder="1"/>
    <xf numFmtId="0" fontId="0" fillId="0" borderId="49" xfId="0" applyBorder="1"/>
    <xf numFmtId="3" fontId="0" fillId="0" borderId="7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9" xfId="0" applyNumberFormat="1" applyBorder="1"/>
    <xf numFmtId="4" fontId="0" fillId="6" borderId="35" xfId="0" applyNumberFormat="1" applyFill="1" applyBorder="1"/>
    <xf numFmtId="4" fontId="0" fillId="6" borderId="36" xfId="0" applyNumberFormat="1" applyFill="1" applyBorder="1"/>
    <xf numFmtId="4" fontId="0" fillId="6" borderId="37" xfId="0" applyNumberFormat="1" applyFill="1" applyBorder="1"/>
    <xf numFmtId="4" fontId="0" fillId="6" borderId="44" xfId="0" applyNumberFormat="1" applyFill="1" applyBorder="1"/>
    <xf numFmtId="0" fontId="5" fillId="0" borderId="44" xfId="0" applyFont="1" applyBorder="1"/>
    <xf numFmtId="0" fontId="1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/>
    <xf numFmtId="4" fontId="5" fillId="8" borderId="51" xfId="0" applyNumberFormat="1" applyFont="1" applyFill="1" applyBorder="1"/>
    <xf numFmtId="179" fontId="2" fillId="0" borderId="0" xfId="0" applyNumberFormat="1" applyFont="1"/>
    <xf numFmtId="172" fontId="0" fillId="8" borderId="51" xfId="0" applyNumberFormat="1" applyFill="1" applyBorder="1"/>
    <xf numFmtId="172" fontId="30" fillId="8" borderId="51" xfId="0" applyNumberFormat="1" applyFont="1" applyFill="1" applyBorder="1"/>
    <xf numFmtId="0" fontId="6" fillId="14" borderId="54" xfId="0" applyFont="1" applyFill="1" applyBorder="1" applyAlignment="1">
      <alignment horizontal="center" vertical="center" wrapText="1"/>
    </xf>
    <xf numFmtId="166" fontId="7" fillId="0" borderId="55" xfId="3" applyNumberFormat="1" applyFont="1" applyBorder="1"/>
    <xf numFmtId="0" fontId="0" fillId="15" borderId="11" xfId="0" applyFill="1" applyBorder="1"/>
    <xf numFmtId="0" fontId="0" fillId="15" borderId="12" xfId="0" applyFill="1" applyBorder="1"/>
    <xf numFmtId="0" fontId="5" fillId="15" borderId="12" xfId="0" applyFont="1" applyFill="1" applyBorder="1"/>
    <xf numFmtId="0" fontId="5" fillId="15" borderId="13" xfId="0" applyFont="1" applyFill="1" applyBorder="1"/>
    <xf numFmtId="0" fontId="2" fillId="18" borderId="1" xfId="0" applyFont="1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174" fontId="0" fillId="18" borderId="1" xfId="4" applyNumberFormat="1" applyFont="1" applyFill="1" applyBorder="1" applyAlignment="1">
      <alignment vertical="center"/>
    </xf>
    <xf numFmtId="166" fontId="0" fillId="18" borderId="1" xfId="3" applyNumberFormat="1" applyFont="1" applyFill="1" applyBorder="1" applyAlignment="1">
      <alignment vertical="center"/>
    </xf>
    <xf numFmtId="166" fontId="0" fillId="18" borderId="1" xfId="0" applyNumberFormat="1" applyFill="1" applyBorder="1" applyAlignment="1">
      <alignment horizontal="center" vertical="center"/>
    </xf>
    <xf numFmtId="176" fontId="0" fillId="18" borderId="1" xfId="3" applyNumberFormat="1" applyFont="1" applyFill="1" applyBorder="1" applyAlignment="1">
      <alignment vertical="center"/>
    </xf>
    <xf numFmtId="166" fontId="0" fillId="18" borderId="2" xfId="0" applyNumberFormat="1" applyFill="1" applyBorder="1" applyAlignment="1">
      <alignment horizontal="center" vertical="center"/>
    </xf>
    <xf numFmtId="0" fontId="0" fillId="18" borderId="16" xfId="0" applyFill="1" applyBorder="1" applyAlignment="1">
      <alignment vertical="center"/>
    </xf>
    <xf numFmtId="175" fontId="0" fillId="18" borderId="1" xfId="0" applyNumberFormat="1" applyFill="1" applyBorder="1" applyAlignment="1">
      <alignment vertical="center"/>
    </xf>
    <xf numFmtId="0" fontId="0" fillId="18" borderId="1" xfId="0" applyFill="1" applyBorder="1" applyAlignment="1">
      <alignment horizontal="center"/>
    </xf>
    <xf numFmtId="166" fontId="0" fillId="18" borderId="1" xfId="0" applyNumberFormat="1" applyFill="1" applyBorder="1" applyAlignment="1">
      <alignment vertical="center"/>
    </xf>
    <xf numFmtId="177" fontId="0" fillId="18" borderId="1" xfId="0" applyNumberFormat="1" applyFill="1" applyBorder="1" applyAlignment="1">
      <alignment vertical="center"/>
    </xf>
    <xf numFmtId="178" fontId="5" fillId="8" borderId="43" xfId="0" applyNumberFormat="1" applyFont="1" applyFill="1" applyBorder="1"/>
    <xf numFmtId="171" fontId="25" fillId="0" borderId="0" xfId="0" applyNumberFormat="1" applyFont="1"/>
    <xf numFmtId="166" fontId="30" fillId="0" borderId="1" xfId="0" applyNumberFormat="1" applyFont="1" applyBorder="1" applyAlignment="1">
      <alignment horizontal="center" vertical="center"/>
    </xf>
    <xf numFmtId="180" fontId="30" fillId="0" borderId="1" xfId="0" applyNumberFormat="1" applyFont="1" applyBorder="1" applyAlignment="1">
      <alignment horizontal="center" vertical="center"/>
    </xf>
    <xf numFmtId="10" fontId="0" fillId="18" borderId="1" xfId="4" applyNumberFormat="1" applyFont="1" applyFill="1" applyBorder="1" applyAlignment="1">
      <alignment vertical="center"/>
    </xf>
    <xf numFmtId="10" fontId="5" fillId="0" borderId="1" xfId="4" applyNumberFormat="1" applyFont="1" applyBorder="1" applyAlignment="1">
      <alignment vertical="center"/>
    </xf>
    <xf numFmtId="10" fontId="31" fillId="19" borderId="1" xfId="4" applyNumberFormat="1" applyFont="1" applyFill="1" applyBorder="1" applyAlignment="1">
      <alignment vertical="center"/>
    </xf>
    <xf numFmtId="166" fontId="24" fillId="19" borderId="1" xfId="3" applyNumberFormat="1" applyFont="1" applyFill="1" applyBorder="1" applyAlignment="1">
      <alignment vertical="center"/>
    </xf>
    <xf numFmtId="166" fontId="24" fillId="19" borderId="1" xfId="0" applyNumberFormat="1" applyFont="1" applyFill="1" applyBorder="1" applyAlignment="1">
      <alignment horizontal="center" vertical="center"/>
    </xf>
    <xf numFmtId="166" fontId="24" fillId="19" borderId="2" xfId="0" applyNumberFormat="1" applyFont="1" applyFill="1" applyBorder="1" applyAlignment="1">
      <alignment horizontal="center" vertical="center"/>
    </xf>
    <xf numFmtId="166" fontId="24" fillId="19" borderId="1" xfId="0" applyNumberFormat="1" applyFont="1" applyFill="1" applyBorder="1" applyAlignment="1">
      <alignment vertical="center"/>
    </xf>
    <xf numFmtId="177" fontId="24" fillId="1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30" fillId="0" borderId="0" xfId="0" applyFont="1"/>
    <xf numFmtId="3" fontId="30" fillId="0" borderId="0" xfId="0" applyNumberFormat="1" applyFont="1"/>
    <xf numFmtId="174" fontId="30" fillId="0" borderId="0" xfId="4" applyNumberFormat="1" applyFont="1"/>
    <xf numFmtId="166" fontId="34" fillId="12" borderId="1" xfId="3" applyNumberFormat="1" applyFont="1" applyFill="1" applyBorder="1"/>
    <xf numFmtId="0" fontId="34" fillId="12" borderId="1" xfId="0" applyFont="1" applyFill="1" applyBorder="1"/>
    <xf numFmtId="0" fontId="17" fillId="0" borderId="1" xfId="0" applyFont="1" applyBorder="1"/>
    <xf numFmtId="166" fontId="34" fillId="0" borderId="1" xfId="3" applyNumberFormat="1" applyFont="1" applyBorder="1"/>
    <xf numFmtId="0" fontId="34" fillId="0" borderId="1" xfId="0" applyFont="1" applyBorder="1"/>
    <xf numFmtId="166" fontId="17" fillId="0" borderId="1" xfId="3" applyNumberFormat="1" applyFont="1" applyFill="1" applyBorder="1"/>
    <xf numFmtId="166" fontId="34" fillId="0" borderId="1" xfId="3" applyNumberFormat="1" applyFont="1" applyBorder="1" applyAlignment="1">
      <alignment horizontal="center" vertical="center"/>
    </xf>
    <xf numFmtId="0" fontId="34" fillId="0" borderId="1" xfId="0" applyFont="1" applyBorder="1" applyAlignment="1">
      <alignment wrapText="1"/>
    </xf>
    <xf numFmtId="9" fontId="17" fillId="0" borderId="1" xfId="0" applyNumberFormat="1" applyFont="1" applyBorder="1"/>
    <xf numFmtId="9" fontId="17" fillId="0" borderId="1" xfId="4" applyFont="1" applyBorder="1"/>
    <xf numFmtId="0" fontId="30" fillId="0" borderId="0" xfId="0" applyFont="1" applyAlignment="1">
      <alignment vertical="center"/>
    </xf>
    <xf numFmtId="0" fontId="34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vertical="center"/>
    </xf>
    <xf numFmtId="0" fontId="13" fillId="0" borderId="0" xfId="0" applyFont="1" applyAlignment="1">
      <alignment wrapText="1"/>
    </xf>
    <xf numFmtId="166" fontId="28" fillId="0" borderId="0" xfId="0" applyNumberFormat="1" applyFont="1"/>
    <xf numFmtId="181" fontId="12" fillId="12" borderId="44" xfId="3" applyNumberFormat="1" applyFont="1" applyFill="1" applyBorder="1"/>
    <xf numFmtId="3" fontId="12" fillId="0" borderId="8" xfId="3" applyNumberFormat="1" applyFont="1" applyFill="1" applyBorder="1"/>
    <xf numFmtId="0" fontId="13" fillId="12" borderId="56" xfId="0" applyFont="1" applyFill="1" applyBorder="1" applyAlignment="1">
      <alignment horizontal="center"/>
    </xf>
    <xf numFmtId="3" fontId="35" fillId="0" borderId="51" xfId="0" applyNumberFormat="1" applyFont="1" applyBorder="1"/>
    <xf numFmtId="3" fontId="30" fillId="0" borderId="24" xfId="0" applyNumberFormat="1" applyFont="1" applyBorder="1"/>
    <xf numFmtId="3" fontId="12" fillId="0" borderId="16" xfId="3" applyNumberFormat="1" applyFont="1" applyFill="1" applyBorder="1"/>
    <xf numFmtId="3" fontId="13" fillId="0" borderId="29" xfId="0" applyNumberFormat="1" applyFont="1" applyBorder="1" applyAlignment="1">
      <alignment horizontal="center"/>
    </xf>
    <xf numFmtId="3" fontId="13" fillId="0" borderId="14" xfId="0" applyNumberFormat="1" applyFont="1" applyBorder="1"/>
    <xf numFmtId="0" fontId="13" fillId="12" borderId="36" xfId="0" applyFont="1" applyFill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3" fillId="0" borderId="16" xfId="0" applyNumberFormat="1" applyFont="1" applyBorder="1"/>
    <xf numFmtId="0" fontId="13" fillId="12" borderId="51" xfId="0" applyFont="1" applyFill="1" applyBorder="1" applyAlignment="1">
      <alignment horizontal="center"/>
    </xf>
    <xf numFmtId="3" fontId="13" fillId="0" borderId="50" xfId="0" applyNumberFormat="1" applyFont="1" applyBorder="1" applyAlignment="1">
      <alignment horizontal="center"/>
    </xf>
    <xf numFmtId="3" fontId="13" fillId="0" borderId="17" xfId="0" applyNumberFormat="1" applyFont="1" applyBorder="1"/>
    <xf numFmtId="3" fontId="12" fillId="0" borderId="15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5" fillId="0" borderId="21" xfId="0" applyFont="1" applyBorder="1" applyAlignment="1">
      <alignment horizontal="center" vertical="center" wrapText="1"/>
    </xf>
    <xf numFmtId="0" fontId="35" fillId="0" borderId="0" xfId="0" applyFont="1"/>
    <xf numFmtId="0" fontId="22" fillId="0" borderId="0" xfId="0" applyFont="1"/>
    <xf numFmtId="0" fontId="2" fillId="2" borderId="0" xfId="0" applyFont="1" applyFill="1" applyAlignment="1">
      <alignment horizontal="center" vertical="center"/>
    </xf>
    <xf numFmtId="3" fontId="0" fillId="2" borderId="8" xfId="0" applyNumberFormat="1" applyFill="1" applyBorder="1"/>
    <xf numFmtId="0" fontId="0" fillId="9" borderId="9" xfId="0" applyFill="1" applyBorder="1" applyAlignment="1">
      <alignment horizontal="right" vertical="center"/>
    </xf>
    <xf numFmtId="3" fontId="0" fillId="9" borderId="9" xfId="0" applyNumberFormat="1" applyFill="1" applyBorder="1"/>
    <xf numFmtId="4" fontId="0" fillId="15" borderId="35" xfId="0" applyNumberFormat="1" applyFill="1" applyBorder="1"/>
    <xf numFmtId="4" fontId="0" fillId="15" borderId="36" xfId="0" applyNumberFormat="1" applyFill="1" applyBorder="1"/>
    <xf numFmtId="4" fontId="0" fillId="15" borderId="37" xfId="0" applyNumberFormat="1" applyFill="1" applyBorder="1"/>
    <xf numFmtId="4" fontId="0" fillId="15" borderId="44" xfId="0" applyNumberFormat="1" applyFill="1" applyBorder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0" fillId="0" borderId="0" xfId="0" applyNumberFormat="1"/>
    <xf numFmtId="172" fontId="0" fillId="8" borderId="43" xfId="0" applyNumberFormat="1" applyFill="1" applyBorder="1"/>
    <xf numFmtId="172" fontId="30" fillId="8" borderId="43" xfId="0" applyNumberFormat="1" applyFont="1" applyFill="1" applyBorder="1"/>
    <xf numFmtId="0" fontId="12" fillId="15" borderId="27" xfId="0" applyFont="1" applyFill="1" applyBorder="1" applyAlignment="1">
      <alignment horizontal="center" vertical="center" wrapText="1"/>
    </xf>
    <xf numFmtId="182" fontId="25" fillId="0" borderId="0" xfId="0" applyNumberFormat="1" applyFont="1"/>
    <xf numFmtId="0" fontId="34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2" fillId="3" borderId="1" xfId="0" applyFont="1" applyFill="1" applyBorder="1"/>
    <xf numFmtId="0" fontId="12" fillId="2" borderId="1" xfId="0" applyFont="1" applyFill="1" applyBorder="1"/>
    <xf numFmtId="0" fontId="12" fillId="4" borderId="1" xfId="0" applyFont="1" applyFill="1" applyBorder="1"/>
    <xf numFmtId="10" fontId="0" fillId="0" borderId="1" xfId="4" applyNumberFormat="1" applyFont="1" applyBorder="1" applyAlignment="1">
      <alignment vertical="center"/>
    </xf>
    <xf numFmtId="0" fontId="2" fillId="16" borderId="1" xfId="0" applyFont="1" applyFill="1" applyBorder="1" applyAlignment="1">
      <alignment vertical="center"/>
    </xf>
    <xf numFmtId="174" fontId="0" fillId="0" borderId="0" xfId="4" applyNumberFormat="1" applyFont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11" fillId="0" borderId="0" xfId="0" applyFont="1"/>
    <xf numFmtId="0" fontId="38" fillId="0" borderId="0" xfId="0" applyFont="1"/>
    <xf numFmtId="0" fontId="17" fillId="0" borderId="0" xfId="0" applyFont="1"/>
    <xf numFmtId="174" fontId="0" fillId="0" borderId="0" xfId="4" applyNumberFormat="1" applyFont="1" applyFill="1"/>
    <xf numFmtId="0" fontId="0" fillId="0" borderId="4" xfId="0" applyBorder="1" applyAlignment="1">
      <alignment horizontal="center"/>
    </xf>
    <xf numFmtId="174" fontId="12" fillId="0" borderId="10" xfId="4" applyNumberFormat="1" applyFont="1" applyFill="1" applyBorder="1" applyAlignment="1">
      <alignment horizontal="center"/>
    </xf>
    <xf numFmtId="171" fontId="1" fillId="0" borderId="23" xfId="3" applyNumberFormat="1" applyFont="1" applyFill="1" applyBorder="1"/>
    <xf numFmtId="171" fontId="1" fillId="0" borderId="62" xfId="3" applyNumberFormat="1" applyFont="1" applyFill="1" applyBorder="1"/>
    <xf numFmtId="0" fontId="39" fillId="0" borderId="0" xfId="0" applyFont="1" applyAlignment="1">
      <alignment horizontal="center"/>
    </xf>
    <xf numFmtId="0" fontId="29" fillId="0" borderId="0" xfId="0" applyFont="1"/>
    <xf numFmtId="171" fontId="6" fillId="0" borderId="58" xfId="3" applyNumberFormat="1" applyFont="1" applyFill="1" applyBorder="1"/>
    <xf numFmtId="171" fontId="6" fillId="0" borderId="10" xfId="3" applyNumberFormat="1" applyFont="1" applyFill="1" applyBorder="1"/>
    <xf numFmtId="166" fontId="0" fillId="0" borderId="1" xfId="0" applyNumberFormat="1" applyBorder="1"/>
    <xf numFmtId="166" fontId="30" fillId="0" borderId="1" xfId="0" applyNumberFormat="1" applyFont="1" applyBorder="1"/>
    <xf numFmtId="0" fontId="4" fillId="21" borderId="1" xfId="0" applyFont="1" applyFill="1" applyBorder="1" applyAlignment="1">
      <alignment horizontal="center" vertical="top" wrapText="1"/>
    </xf>
    <xf numFmtId="0" fontId="4" fillId="16" borderId="1" xfId="1" applyFont="1" applyFill="1" applyBorder="1" applyAlignment="1">
      <alignment horizontal="center" vertical="top" wrapText="1"/>
    </xf>
    <xf numFmtId="171" fontId="2" fillId="0" borderId="1" xfId="3" applyNumberFormat="1" applyFont="1" applyFill="1" applyBorder="1" applyAlignment="1">
      <alignment horizontal="center"/>
    </xf>
    <xf numFmtId="166" fontId="1" fillId="0" borderId="1" xfId="3" applyNumberFormat="1" applyFont="1" applyFill="1" applyBorder="1"/>
    <xf numFmtId="166" fontId="2" fillId="0" borderId="1" xfId="3" applyNumberFormat="1" applyFont="1" applyFill="1" applyBorder="1" applyAlignment="1">
      <alignment horizontal="center" vertical="center"/>
    </xf>
    <xf numFmtId="166" fontId="2" fillId="0" borderId="1" xfId="3" applyNumberFormat="1" applyFont="1" applyFill="1" applyBorder="1"/>
    <xf numFmtId="166" fontId="7" fillId="0" borderId="1" xfId="3" applyNumberFormat="1" applyFont="1" applyFill="1" applyBorder="1"/>
    <xf numFmtId="0" fontId="2" fillId="0" borderId="50" xfId="0" applyFont="1" applyBorder="1"/>
    <xf numFmtId="0" fontId="2" fillId="0" borderId="2" xfId="0" applyFont="1" applyBorder="1"/>
    <xf numFmtId="0" fontId="2" fillId="0" borderId="29" xfId="0" applyFont="1" applyBorder="1"/>
    <xf numFmtId="3" fontId="0" fillId="0" borderId="23" xfId="0" applyNumberFormat="1" applyBorder="1"/>
    <xf numFmtId="3" fontId="0" fillId="6" borderId="34" xfId="0" applyNumberFormat="1" applyFill="1" applyBorder="1"/>
    <xf numFmtId="3" fontId="0" fillId="6" borderId="1" xfId="0" applyNumberFormat="1" applyFill="1" applyBorder="1"/>
    <xf numFmtId="0" fontId="41" fillId="22" borderId="1" xfId="0" applyFont="1" applyFill="1" applyBorder="1" applyAlignment="1">
      <alignment horizontal="center" vertical="center" wrapText="1"/>
    </xf>
    <xf numFmtId="184" fontId="40" fillId="0" borderId="1" xfId="0" applyNumberFormat="1" applyFont="1" applyBorder="1" applyAlignment="1">
      <alignment horizontal="center" vertical="center"/>
    </xf>
    <xf numFmtId="184" fontId="0" fillId="0" borderId="1" xfId="0" applyNumberFormat="1" applyBorder="1"/>
    <xf numFmtId="184" fontId="40" fillId="16" borderId="1" xfId="0" applyNumberFormat="1" applyFont="1" applyFill="1" applyBorder="1" applyAlignment="1">
      <alignment horizontal="center" vertical="center"/>
    </xf>
    <xf numFmtId="184" fontId="0" fillId="0" borderId="0" xfId="0" applyNumberFormat="1"/>
    <xf numFmtId="175" fontId="25" fillId="0" borderId="0" xfId="0" applyNumberFormat="1" applyFont="1"/>
    <xf numFmtId="0" fontId="34" fillId="4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vertical="center" wrapText="1"/>
    </xf>
    <xf numFmtId="0" fontId="0" fillId="19" borderId="1" xfId="0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175" fontId="0" fillId="0" borderId="16" xfId="0" applyNumberFormat="1" applyBorder="1" applyAlignment="1">
      <alignment vertical="center"/>
    </xf>
    <xf numFmtId="175" fontId="0" fillId="0" borderId="0" xfId="0" applyNumberFormat="1" applyAlignment="1">
      <alignment vertical="center"/>
    </xf>
    <xf numFmtId="185" fontId="2" fillId="0" borderId="0" xfId="0" applyNumberFormat="1" applyFont="1"/>
    <xf numFmtId="41" fontId="12" fillId="4" borderId="1" xfId="8" applyFont="1" applyFill="1" applyBorder="1"/>
    <xf numFmtId="0" fontId="42" fillId="0" borderId="0" xfId="0" applyFont="1"/>
    <xf numFmtId="168" fontId="0" fillId="0" borderId="0" xfId="0" applyNumberFormat="1"/>
    <xf numFmtId="0" fontId="2" fillId="0" borderId="1" xfId="0" applyFont="1" applyBorder="1" applyAlignment="1">
      <alignment horizontal="center" vertical="center"/>
    </xf>
    <xf numFmtId="186" fontId="0" fillId="0" borderId="0" xfId="0" applyNumberFormat="1"/>
    <xf numFmtId="178" fontId="2" fillId="23" borderId="0" xfId="0" applyNumberFormat="1" applyFont="1" applyFill="1"/>
    <xf numFmtId="0" fontId="5" fillId="15" borderId="45" xfId="0" applyFont="1" applyFill="1" applyBorder="1" applyAlignment="1">
      <alignment vertical="center"/>
    </xf>
    <xf numFmtId="0" fontId="5" fillId="15" borderId="46" xfId="0" applyFont="1" applyFill="1" applyBorder="1" applyAlignment="1">
      <alignment vertical="center"/>
    </xf>
    <xf numFmtId="0" fontId="5" fillId="15" borderId="47" xfId="0" applyFont="1" applyFill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53" xfId="0" applyFont="1" applyBorder="1"/>
    <xf numFmtId="0" fontId="1" fillId="0" borderId="19" xfId="0" applyFont="1" applyBorder="1"/>
    <xf numFmtId="0" fontId="0" fillId="0" borderId="19" xfId="0" applyBorder="1"/>
    <xf numFmtId="166" fontId="6" fillId="2" borderId="19" xfId="3" applyNumberFormat="1" applyFont="1" applyFill="1" applyBorder="1"/>
    <xf numFmtId="171" fontId="12" fillId="2" borderId="59" xfId="3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171" fontId="12" fillId="2" borderId="1" xfId="3" applyNumberFormat="1" applyFont="1" applyFill="1" applyBorder="1"/>
    <xf numFmtId="187" fontId="25" fillId="0" borderId="0" xfId="0" applyNumberFormat="1" applyFont="1"/>
    <xf numFmtId="187" fontId="25" fillId="23" borderId="0" xfId="0" applyNumberFormat="1" applyFont="1" applyFill="1"/>
    <xf numFmtId="0" fontId="1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75" fontId="0" fillId="0" borderId="1" xfId="0" applyNumberFormat="1" applyBorder="1"/>
    <xf numFmtId="4" fontId="0" fillId="0" borderId="1" xfId="0" applyNumberFormat="1" applyBorder="1"/>
    <xf numFmtId="172" fontId="2" fillId="16" borderId="0" xfId="0" applyNumberFormat="1" applyFont="1" applyFill="1"/>
    <xf numFmtId="183" fontId="12" fillId="0" borderId="58" xfId="8" applyNumberFormat="1" applyFont="1" applyFill="1" applyBorder="1"/>
    <xf numFmtId="183" fontId="12" fillId="0" borderId="10" xfId="8" applyNumberFormat="1" applyFont="1" applyFill="1" applyBorder="1"/>
    <xf numFmtId="183" fontId="12" fillId="0" borderId="9" xfId="8" applyNumberFormat="1" applyFont="1" applyFill="1" applyBorder="1"/>
    <xf numFmtId="0" fontId="2" fillId="0" borderId="48" xfId="0" applyFont="1" applyBorder="1"/>
    <xf numFmtId="174" fontId="0" fillId="0" borderId="40" xfId="4" applyNumberFormat="1" applyFont="1" applyBorder="1"/>
    <xf numFmtId="166" fontId="7" fillId="0" borderId="63" xfId="3" applyNumberFormat="1" applyFont="1" applyBorder="1"/>
    <xf numFmtId="0" fontId="6" fillId="15" borderId="4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166" fontId="17" fillId="0" borderId="15" xfId="3" applyNumberFormat="1" applyFont="1" applyBorder="1"/>
    <xf numFmtId="174" fontId="17" fillId="16" borderId="1" xfId="4" applyNumberFormat="1" applyFont="1" applyFill="1" applyBorder="1"/>
    <xf numFmtId="9" fontId="22" fillId="16" borderId="0" xfId="0" applyNumberFormat="1" applyFont="1" applyFill="1" applyAlignment="1">
      <alignment horizontal="center"/>
    </xf>
    <xf numFmtId="166" fontId="17" fillId="16" borderId="1" xfId="3" applyNumberFormat="1" applyFont="1" applyFill="1" applyBorder="1"/>
    <xf numFmtId="17" fontId="30" fillId="0" borderId="0" xfId="0" applyNumberFormat="1" applyFont="1"/>
    <xf numFmtId="3" fontId="13" fillId="0" borderId="16" xfId="3" applyNumberFormat="1" applyFont="1" applyFill="1" applyBorder="1"/>
    <xf numFmtId="10" fontId="13" fillId="0" borderId="18" xfId="4" applyNumberFormat="1" applyFont="1" applyFill="1" applyBorder="1" applyAlignment="1">
      <alignment horizontal="center" wrapText="1"/>
    </xf>
    <xf numFmtId="172" fontId="35" fillId="12" borderId="51" xfId="0" applyNumberFormat="1" applyFont="1" applyFill="1" applyBorder="1"/>
    <xf numFmtId="10" fontId="13" fillId="0" borderId="20" xfId="4" applyNumberFormat="1" applyFont="1" applyFill="1" applyBorder="1" applyAlignment="1">
      <alignment horizontal="center" wrapText="1"/>
    </xf>
    <xf numFmtId="172" fontId="12" fillId="12" borderId="8" xfId="3" applyNumberFormat="1" applyFont="1" applyFill="1" applyBorder="1"/>
    <xf numFmtId="0" fontId="17" fillId="12" borderId="1" xfId="0" applyFont="1" applyFill="1" applyBorder="1" applyAlignment="1">
      <alignment horizontal="center" vertical="center" wrapText="1"/>
    </xf>
    <xf numFmtId="171" fontId="0" fillId="0" borderId="1" xfId="0" applyNumberFormat="1" applyBorder="1"/>
    <xf numFmtId="171" fontId="2" fillId="0" borderId="0" xfId="3" applyNumberFormat="1" applyFont="1" applyFill="1" applyAlignment="1">
      <alignment horizontal="center" wrapText="1"/>
    </xf>
    <xf numFmtId="0" fontId="0" fillId="0" borderId="38" xfId="0" applyBorder="1" applyAlignment="1">
      <alignment horizontal="center"/>
    </xf>
    <xf numFmtId="49" fontId="1" fillId="0" borderId="0" xfId="0" applyNumberFormat="1" applyFont="1"/>
    <xf numFmtId="166" fontId="7" fillId="6" borderId="1" xfId="4" applyNumberFormat="1" applyFont="1" applyFill="1" applyBorder="1"/>
    <xf numFmtId="10" fontId="7" fillId="6" borderId="2" xfId="4" applyNumberFormat="1" applyFont="1" applyFill="1" applyBorder="1"/>
    <xf numFmtId="10" fontId="7" fillId="6" borderId="1" xfId="4" applyNumberFormat="1" applyFont="1" applyFill="1" applyBorder="1"/>
    <xf numFmtId="0" fontId="7" fillId="6" borderId="1" xfId="0" applyFont="1" applyFill="1" applyBorder="1"/>
    <xf numFmtId="171" fontId="2" fillId="23" borderId="0" xfId="3" applyNumberFormat="1" applyFont="1" applyFill="1" applyAlignment="1">
      <alignment horizontal="center" wrapText="1"/>
    </xf>
    <xf numFmtId="166" fontId="3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76" fontId="0" fillId="0" borderId="1" xfId="3" applyNumberFormat="1" applyFont="1" applyFill="1" applyBorder="1" applyAlignment="1">
      <alignment vertical="center"/>
    </xf>
    <xf numFmtId="10" fontId="5" fillId="0" borderId="1" xfId="4" applyNumberFormat="1" applyFont="1" applyFill="1" applyBorder="1" applyAlignment="1">
      <alignment vertical="center"/>
    </xf>
    <xf numFmtId="0" fontId="24" fillId="19" borderId="1" xfId="0" applyFont="1" applyFill="1" applyBorder="1" applyAlignment="1">
      <alignment vertical="center"/>
    </xf>
    <xf numFmtId="0" fontId="27" fillId="19" borderId="1" xfId="0" applyFont="1" applyFill="1" applyBorder="1" applyAlignment="1">
      <alignment vertical="center"/>
    </xf>
    <xf numFmtId="174" fontId="24" fillId="19" borderId="1" xfId="4" applyNumberFormat="1" applyFont="1" applyFill="1" applyBorder="1" applyAlignment="1">
      <alignment vertical="center"/>
    </xf>
    <xf numFmtId="176" fontId="24" fillId="19" borderId="1" xfId="3" applyNumberFormat="1" applyFont="1" applyFill="1" applyBorder="1" applyAlignment="1">
      <alignment vertical="center"/>
    </xf>
    <xf numFmtId="0" fontId="24" fillId="19" borderId="16" xfId="0" applyFont="1" applyFill="1" applyBorder="1" applyAlignment="1">
      <alignment vertical="center"/>
    </xf>
    <xf numFmtId="0" fontId="24" fillId="19" borderId="1" xfId="0" applyFont="1" applyFill="1" applyBorder="1" applyAlignment="1">
      <alignment horizontal="center"/>
    </xf>
    <xf numFmtId="180" fontId="24" fillId="19" borderId="1" xfId="0" applyNumberFormat="1" applyFont="1" applyFill="1" applyBorder="1" applyAlignment="1">
      <alignment horizontal="center" vertical="center"/>
    </xf>
    <xf numFmtId="175" fontId="24" fillId="19" borderId="16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72" fontId="0" fillId="0" borderId="1" xfId="0" applyNumberFormat="1" applyBorder="1" applyAlignment="1">
      <alignment vertical="center"/>
    </xf>
    <xf numFmtId="172" fontId="30" fillId="0" borderId="0" xfId="0" applyNumberFormat="1" applyFont="1"/>
    <xf numFmtId="183" fontId="13" fillId="0" borderId="23" xfId="8" applyNumberFormat="1" applyFont="1" applyFill="1" applyBorder="1"/>
    <xf numFmtId="183" fontId="13" fillId="0" borderId="24" xfId="8" applyNumberFormat="1" applyFont="1" applyFill="1" applyBorder="1"/>
    <xf numFmtId="183" fontId="13" fillId="0" borderId="62" xfId="8" applyNumberFormat="1" applyFont="1" applyFill="1" applyBorder="1"/>
    <xf numFmtId="0" fontId="34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8" fillId="11" borderId="45" xfId="0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center" vertical="center"/>
    </xf>
    <xf numFmtId="0" fontId="18" fillId="11" borderId="47" xfId="0" applyFont="1" applyFill="1" applyBorder="1" applyAlignment="1">
      <alignment horizontal="center" vertical="center"/>
    </xf>
    <xf numFmtId="0" fontId="18" fillId="20" borderId="45" xfId="0" applyFont="1" applyFill="1" applyBorder="1" applyAlignment="1">
      <alignment horizontal="center" vertical="center" wrapText="1"/>
    </xf>
    <xf numFmtId="0" fontId="18" fillId="20" borderId="46" xfId="0" applyFont="1" applyFill="1" applyBorder="1" applyAlignment="1">
      <alignment horizontal="center" vertical="center" wrapText="1"/>
    </xf>
    <xf numFmtId="0" fontId="18" fillId="20" borderId="47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/>
    </xf>
    <xf numFmtId="0" fontId="5" fillId="14" borderId="54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left"/>
    </xf>
    <xf numFmtId="3" fontId="12" fillId="0" borderId="47" xfId="0" applyNumberFormat="1" applyFont="1" applyBorder="1" applyAlignment="1">
      <alignment horizontal="left"/>
    </xf>
    <xf numFmtId="3" fontId="12" fillId="0" borderId="27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center" vertical="center" wrapText="1"/>
    </xf>
    <xf numFmtId="3" fontId="12" fillId="0" borderId="43" xfId="0" applyNumberFormat="1" applyFont="1" applyBorder="1" applyAlignment="1">
      <alignment horizontal="center" vertical="center" wrapText="1"/>
    </xf>
    <xf numFmtId="3" fontId="12" fillId="12" borderId="32" xfId="0" applyNumberFormat="1" applyFont="1" applyFill="1" applyBorder="1" applyAlignment="1">
      <alignment horizontal="center" vertical="center" wrapText="1"/>
    </xf>
    <xf numFmtId="3" fontId="12" fillId="12" borderId="33" xfId="0" applyNumberFormat="1" applyFont="1" applyFill="1" applyBorder="1" applyAlignment="1">
      <alignment horizontal="center" vertical="center" wrapText="1"/>
    </xf>
    <xf numFmtId="3" fontId="12" fillId="12" borderId="34" xfId="0" applyNumberFormat="1" applyFont="1" applyFill="1" applyBorder="1" applyAlignment="1">
      <alignment horizontal="center" vertical="center" wrapText="1"/>
    </xf>
    <xf numFmtId="3" fontId="12" fillId="12" borderId="8" xfId="0" applyNumberFormat="1" applyFont="1" applyFill="1" applyBorder="1" applyAlignment="1">
      <alignment horizontal="center" vertical="center" wrapText="1"/>
    </xf>
    <xf numFmtId="3" fontId="12" fillId="12" borderId="10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2" fillId="12" borderId="38" xfId="0" applyFont="1" applyFill="1" applyBorder="1" applyAlignment="1">
      <alignment horizontal="center" vertical="center" wrapText="1"/>
    </xf>
    <xf numFmtId="0" fontId="12" fillId="12" borderId="39" xfId="0" applyFont="1" applyFill="1" applyBorder="1" applyAlignment="1">
      <alignment horizontal="center" vertical="center" wrapText="1"/>
    </xf>
    <xf numFmtId="0" fontId="12" fillId="12" borderId="40" xfId="0" applyFont="1" applyFill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12" fillId="0" borderId="57" xfId="0" applyNumberFormat="1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12" borderId="46" xfId="0" applyFont="1" applyFill="1" applyBorder="1" applyAlignment="1">
      <alignment horizontal="center" vertical="center"/>
    </xf>
    <xf numFmtId="0" fontId="35" fillId="12" borderId="31" xfId="0" applyFont="1" applyFill="1" applyBorder="1" applyAlignment="1">
      <alignment horizontal="center" vertical="center"/>
    </xf>
    <xf numFmtId="0" fontId="35" fillId="12" borderId="41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 wrapText="1"/>
    </xf>
    <xf numFmtId="0" fontId="29" fillId="8" borderId="39" xfId="0" applyFont="1" applyFill="1" applyBorder="1" applyAlignment="1">
      <alignment horizontal="center" vertical="center" wrapText="1"/>
    </xf>
    <xf numFmtId="0" fontId="29" fillId="8" borderId="4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8" borderId="4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center"/>
    </xf>
    <xf numFmtId="0" fontId="5" fillId="15" borderId="31" xfId="0" applyFont="1" applyFill="1" applyBorder="1" applyAlignment="1">
      <alignment horizontal="center"/>
    </xf>
    <xf numFmtId="0" fontId="5" fillId="15" borderId="47" xfId="0" applyFont="1" applyFill="1" applyBorder="1" applyAlignment="1">
      <alignment horizontal="center"/>
    </xf>
    <xf numFmtId="0" fontId="4" fillId="15" borderId="38" xfId="0" applyFont="1" applyFill="1" applyBorder="1" applyAlignment="1">
      <alignment horizontal="center" vertical="center" wrapText="1"/>
    </xf>
    <xf numFmtId="0" fontId="4" fillId="15" borderId="40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1" fillId="19" borderId="24" xfId="0" applyFont="1" applyFill="1" applyBorder="1" applyAlignment="1">
      <alignment horizontal="center" vertical="center" wrapText="1"/>
    </xf>
    <xf numFmtId="0" fontId="24" fillId="16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center"/>
    </xf>
    <xf numFmtId="14" fontId="20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166" fontId="17" fillId="0" borderId="15" xfId="3" applyNumberFormat="1" applyFont="1" applyFill="1" applyBorder="1"/>
    <xf numFmtId="0" fontId="0" fillId="0" borderId="0" xfId="0" applyFill="1"/>
    <xf numFmtId="0" fontId="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1" fontId="17" fillId="0" borderId="2" xfId="3" applyNumberFormat="1" applyFont="1" applyFill="1" applyBorder="1" applyAlignment="1">
      <alignment vertical="center"/>
    </xf>
    <xf numFmtId="171" fontId="17" fillId="0" borderId="1" xfId="3" applyNumberFormat="1" applyFont="1" applyFill="1" applyBorder="1" applyAlignment="1">
      <alignment vertical="center"/>
    </xf>
    <xf numFmtId="174" fontId="17" fillId="0" borderId="1" xfId="4" applyNumberFormat="1" applyFont="1" applyFill="1" applyBorder="1" applyAlignment="1">
      <alignment vertical="center"/>
    </xf>
    <xf numFmtId="164" fontId="17" fillId="0" borderId="1" xfId="3" applyFont="1" applyFill="1" applyBorder="1" applyAlignment="1">
      <alignment vertical="center"/>
    </xf>
    <xf numFmtId="0" fontId="34" fillId="3" borderId="1" xfId="0" applyFont="1" applyFill="1" applyBorder="1" applyAlignment="1">
      <alignment vertical="center" wrapText="1"/>
    </xf>
    <xf numFmtId="171" fontId="17" fillId="3" borderId="1" xfId="3" applyNumberFormat="1" applyFont="1" applyFill="1" applyBorder="1" applyAlignment="1">
      <alignment vertical="center"/>
    </xf>
    <xf numFmtId="171" fontId="34" fillId="3" borderId="1" xfId="3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8" fillId="4" borderId="32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3" fontId="12" fillId="0" borderId="44" xfId="0" applyNumberFormat="1" applyFont="1" applyFill="1" applyBorder="1" applyAlignment="1">
      <alignment horizontal="center" vertical="top" wrapText="1"/>
    </xf>
    <xf numFmtId="3" fontId="12" fillId="0" borderId="61" xfId="0" applyNumberFormat="1" applyFont="1" applyFill="1" applyBorder="1" applyAlignment="1">
      <alignment horizontal="center" vertical="top" wrapText="1"/>
    </xf>
    <xf numFmtId="3" fontId="12" fillId="0" borderId="40" xfId="0" applyNumberFormat="1" applyFont="1" applyFill="1" applyBorder="1" applyAlignment="1">
      <alignment horizontal="center" vertical="top" wrapText="1"/>
    </xf>
    <xf numFmtId="3" fontId="12" fillId="0" borderId="30" xfId="0" applyNumberFormat="1" applyFont="1" applyFill="1" applyBorder="1" applyAlignment="1">
      <alignment horizontal="center" vertical="top" wrapText="1"/>
    </xf>
    <xf numFmtId="3" fontId="12" fillId="0" borderId="34" xfId="0" applyNumberFormat="1" applyFont="1" applyFill="1" applyBorder="1" applyAlignment="1">
      <alignment horizontal="center" vertical="top" wrapText="1"/>
    </xf>
    <xf numFmtId="166" fontId="1" fillId="0" borderId="11" xfId="3" applyNumberFormat="1" applyFont="1" applyFill="1" applyBorder="1"/>
    <xf numFmtId="166" fontId="1" fillId="0" borderId="12" xfId="3" applyNumberFormat="1" applyFont="1" applyFill="1" applyBorder="1"/>
    <xf numFmtId="171" fontId="12" fillId="0" borderId="21" xfId="3" applyNumberFormat="1" applyFont="1" applyFill="1" applyBorder="1"/>
    <xf numFmtId="171" fontId="6" fillId="0" borderId="35" xfId="3" applyNumberFormat="1" applyFont="1" applyFill="1" applyBorder="1"/>
    <xf numFmtId="171" fontId="6" fillId="0" borderId="24" xfId="3" applyNumberFormat="1" applyFont="1" applyFill="1" applyBorder="1"/>
    <xf numFmtId="171" fontId="12" fillId="0" borderId="35" xfId="3" applyNumberFormat="1" applyFont="1" applyFill="1" applyBorder="1"/>
    <xf numFmtId="183" fontId="6" fillId="0" borderId="35" xfId="8" applyNumberFormat="1" applyFont="1" applyFill="1" applyBorder="1"/>
    <xf numFmtId="183" fontId="12" fillId="0" borderId="51" xfId="8" applyNumberFormat="1" applyFont="1" applyFill="1" applyBorder="1"/>
    <xf numFmtId="183" fontId="12" fillId="0" borderId="35" xfId="8" applyNumberFormat="1" applyFont="1" applyFill="1" applyBorder="1"/>
    <xf numFmtId="166" fontId="1" fillId="0" borderId="16" xfId="3" applyNumberFormat="1" applyFont="1" applyFill="1" applyBorder="1"/>
    <xf numFmtId="171" fontId="12" fillId="0" borderId="2" xfId="3" applyNumberFormat="1" applyFont="1" applyFill="1" applyBorder="1"/>
    <xf numFmtId="171" fontId="6" fillId="0" borderId="36" xfId="3" applyNumberFormat="1" applyFont="1" applyFill="1" applyBorder="1"/>
    <xf numFmtId="171" fontId="12" fillId="0" borderId="51" xfId="3" applyNumberFormat="1" applyFont="1" applyFill="1" applyBorder="1"/>
    <xf numFmtId="171" fontId="6" fillId="0" borderId="51" xfId="3" applyNumberFormat="1" applyFont="1" applyFill="1" applyBorder="1"/>
    <xf numFmtId="183" fontId="6" fillId="0" borderId="51" xfId="8" applyNumberFormat="1" applyFont="1" applyFill="1" applyBorder="1"/>
    <xf numFmtId="166" fontId="1" fillId="0" borderId="14" xfId="3" applyNumberFormat="1" applyFont="1" applyFill="1" applyBorder="1"/>
    <xf numFmtId="166" fontId="1" fillId="0" borderId="15" xfId="3" applyNumberFormat="1" applyFont="1" applyFill="1" applyBorder="1"/>
    <xf numFmtId="171" fontId="12" fillId="0" borderId="29" xfId="3" applyNumberFormat="1" applyFont="1" applyFill="1" applyBorder="1"/>
    <xf numFmtId="171" fontId="6" fillId="0" borderId="37" xfId="3" applyNumberFormat="1" applyFont="1" applyFill="1" applyBorder="1"/>
    <xf numFmtId="171" fontId="6" fillId="0" borderId="61" xfId="3" applyNumberFormat="1" applyFont="1" applyFill="1" applyBorder="1"/>
    <xf numFmtId="171" fontId="12" fillId="0" borderId="40" xfId="3" applyNumberFormat="1" applyFont="1" applyFill="1" applyBorder="1"/>
    <xf numFmtId="171" fontId="6" fillId="0" borderId="40" xfId="3" applyNumberFormat="1" applyFont="1" applyFill="1" applyBorder="1"/>
    <xf numFmtId="183" fontId="6" fillId="0" borderId="40" xfId="8" applyNumberFormat="1" applyFont="1" applyFill="1" applyBorder="1"/>
    <xf numFmtId="183" fontId="12" fillId="0" borderId="40" xfId="8" applyNumberFormat="1" applyFont="1" applyFill="1" applyBorder="1"/>
    <xf numFmtId="166" fontId="6" fillId="0" borderId="8" xfId="3" applyNumberFormat="1" applyFont="1" applyFill="1" applyBorder="1"/>
    <xf numFmtId="171" fontId="6" fillId="0" borderId="9" xfId="3" applyNumberFormat="1" applyFont="1" applyFill="1" applyBorder="1"/>
    <xf numFmtId="166" fontId="6" fillId="0" borderId="9" xfId="3" applyNumberFormat="1" applyFont="1" applyFill="1" applyBorder="1"/>
    <xf numFmtId="171" fontId="12" fillId="0" borderId="49" xfId="3" applyNumberFormat="1" applyFont="1" applyFill="1" applyBorder="1"/>
    <xf numFmtId="164" fontId="6" fillId="0" borderId="45" xfId="3" applyFont="1" applyFill="1" applyBorder="1"/>
    <xf numFmtId="164" fontId="6" fillId="0" borderId="44" xfId="3" applyFont="1" applyFill="1" applyBorder="1"/>
    <xf numFmtId="171" fontId="6" fillId="0" borderId="44" xfId="3" applyNumberFormat="1" applyFont="1" applyFill="1" applyBorder="1"/>
    <xf numFmtId="166" fontId="6" fillId="0" borderId="44" xfId="3" applyNumberFormat="1" applyFont="1" applyFill="1" applyBorder="1"/>
    <xf numFmtId="183" fontId="6" fillId="0" borderId="47" xfId="8" applyNumberFormat="1" applyFont="1" applyFill="1" applyBorder="1"/>
    <xf numFmtId="183" fontId="12" fillId="0" borderId="44" xfId="8" applyNumberFormat="1" applyFont="1" applyFill="1" applyBorder="1"/>
    <xf numFmtId="183" fontId="12" fillId="0" borderId="47" xfId="8" applyNumberFormat="1" applyFont="1" applyFill="1" applyBorder="1"/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top" wrapText="1"/>
    </xf>
    <xf numFmtId="3" fontId="12" fillId="0" borderId="9" xfId="0" applyNumberFormat="1" applyFont="1" applyFill="1" applyBorder="1" applyAlignment="1">
      <alignment horizontal="center" vertical="top" wrapText="1"/>
    </xf>
    <xf numFmtId="3" fontId="12" fillId="0" borderId="10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171" fontId="6" fillId="0" borderId="17" xfId="3" applyNumberFormat="1" applyFont="1" applyFill="1" applyBorder="1"/>
    <xf numFmtId="171" fontId="6" fillId="0" borderId="7" xfId="3" applyNumberFormat="1" applyFont="1" applyFill="1" applyBorder="1"/>
    <xf numFmtId="10" fontId="1" fillId="0" borderId="18" xfId="4" applyNumberFormat="1" applyFont="1" applyFill="1" applyBorder="1" applyAlignment="1">
      <alignment horizontal="center" wrapText="1"/>
    </xf>
    <xf numFmtId="171" fontId="6" fillId="0" borderId="1" xfId="3" applyNumberFormat="1" applyFont="1" applyFill="1" applyBorder="1"/>
    <xf numFmtId="10" fontId="1" fillId="0" borderId="27" xfId="4" applyNumberFormat="1" applyFont="1" applyFill="1" applyBorder="1" applyAlignment="1">
      <alignment horizontal="center" wrapText="1"/>
    </xf>
    <xf numFmtId="171" fontId="6" fillId="0" borderId="6" xfId="3" applyNumberFormat="1" applyFont="1" applyFill="1" applyBorder="1"/>
    <xf numFmtId="10" fontId="1" fillId="0" borderId="52" xfId="4" applyNumberFormat="1" applyFont="1" applyFill="1" applyBorder="1" applyAlignment="1">
      <alignment horizontal="center" wrapText="1"/>
    </xf>
    <xf numFmtId="171" fontId="6" fillId="0" borderId="8" xfId="3" applyNumberFormat="1" applyFont="1" applyFill="1" applyBorder="1"/>
    <xf numFmtId="9" fontId="6" fillId="0" borderId="10" xfId="4" applyFont="1" applyFill="1" applyBorder="1" applyAlignment="1">
      <alignment horizontal="center"/>
    </xf>
    <xf numFmtId="183" fontId="43" fillId="0" borderId="0" xfId="0" applyNumberFormat="1" applyFont="1"/>
    <xf numFmtId="0" fontId="43" fillId="0" borderId="0" xfId="0" applyFont="1"/>
    <xf numFmtId="173" fontId="43" fillId="0" borderId="0" xfId="0" applyNumberFormat="1" applyFont="1" applyFill="1"/>
    <xf numFmtId="0" fontId="43" fillId="0" borderId="0" xfId="0" applyFont="1" applyFill="1"/>
    <xf numFmtId="182" fontId="43" fillId="0" borderId="0" xfId="0" applyNumberFormat="1" applyFont="1" applyFill="1"/>
    <xf numFmtId="171" fontId="43" fillId="0" borderId="0" xfId="0" applyNumberFormat="1" applyFont="1" applyFill="1"/>
  </cellXfs>
  <cellStyles count="10">
    <cellStyle name="Millares" xfId="3" builtinId="3"/>
    <cellStyle name="Millares [0]" xfId="8" builtinId="6"/>
    <cellStyle name="Millares [0] 2" xfId="9" xr:uid="{A3B0289E-FA49-432D-B5F8-ECB07766B400}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FFFFCC"/>
      <color rgb="FF66FFFF"/>
      <color rgb="FFA9EBE9"/>
      <color rgb="FF33CCCC"/>
      <color rgb="FFFFFF99"/>
      <color rgb="FF0000FF"/>
      <color rgb="FFEF7443"/>
      <color rgb="FFF9B073"/>
      <color rgb="FFF6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0</xdr:row>
      <xdr:rowOff>63498</xdr:rowOff>
    </xdr:from>
    <xdr:to>
      <xdr:col>0</xdr:col>
      <xdr:colOff>1340906</xdr:colOff>
      <xdr:row>0</xdr:row>
      <xdr:rowOff>1216023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D886F-36D1-41F6-BD49-BC173243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63498"/>
          <a:ext cx="12668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59531</xdr:rowOff>
    </xdr:from>
    <xdr:to>
      <xdr:col>0</xdr:col>
      <xdr:colOff>1343025</xdr:colOff>
      <xdr:row>0</xdr:row>
      <xdr:rowOff>1212056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CDA231-1259-46F5-9F29-F5DF47FE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59531"/>
          <a:ext cx="1271587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AE57"/>
  <sheetViews>
    <sheetView tabSelected="1" zoomScale="90" zoomScaleNormal="90" workbookViewId="0">
      <selection activeCell="G15" sqref="G15"/>
    </sheetView>
  </sheetViews>
  <sheetFormatPr baseColWidth="10" defaultRowHeight="15" x14ac:dyDescent="0.25"/>
  <cols>
    <col min="1" max="1" width="40.28515625" customWidth="1"/>
    <col min="2" max="2" width="14" customWidth="1"/>
    <col min="3" max="3" width="14.7109375" customWidth="1"/>
    <col min="4" max="4" width="12" customWidth="1"/>
    <col min="5" max="8" width="11.85546875" customWidth="1"/>
    <col min="9" max="9" width="12.7109375" customWidth="1"/>
    <col min="10" max="12" width="13.7109375" customWidth="1"/>
    <col min="13" max="14" width="15.7109375" customWidth="1"/>
    <col min="15" max="15" width="13" customWidth="1"/>
    <col min="16" max="17" width="11.5703125" customWidth="1"/>
    <col min="18" max="18" width="13" customWidth="1"/>
    <col min="19" max="20" width="11.5703125" customWidth="1"/>
    <col min="21" max="21" width="1.42578125" customWidth="1"/>
    <col min="22" max="22" width="14.140625" customWidth="1"/>
    <col min="23" max="24" width="11.7109375" customWidth="1"/>
    <col min="25" max="25" width="1.42578125" customWidth="1"/>
    <col min="26" max="26" width="14.5703125" customWidth="1"/>
    <col min="27" max="28" width="14.42578125" customWidth="1"/>
    <col min="29" max="29" width="8.5703125" customWidth="1"/>
    <col min="30" max="30" width="31.140625" customWidth="1"/>
  </cols>
  <sheetData>
    <row r="1" spans="1:31" ht="99" customHeight="1" x14ac:dyDescent="0.3">
      <c r="A1" s="263"/>
    </row>
    <row r="2" spans="1:31" ht="8.25" customHeight="1" x14ac:dyDescent="0.3">
      <c r="A2" s="263"/>
    </row>
    <row r="3" spans="1:31" ht="18.75" x14ac:dyDescent="0.3">
      <c r="A3" s="263" t="s">
        <v>326</v>
      </c>
    </row>
    <row r="4" spans="1:31" ht="18.75" x14ac:dyDescent="0.3">
      <c r="A4" s="263" t="s">
        <v>430</v>
      </c>
    </row>
    <row r="5" spans="1:31" ht="17.25" x14ac:dyDescent="0.3">
      <c r="A5" s="264" t="s">
        <v>416</v>
      </c>
    </row>
    <row r="6" spans="1:31" ht="17.25" x14ac:dyDescent="0.3">
      <c r="A6" s="264" t="s">
        <v>325</v>
      </c>
    </row>
    <row r="7" spans="1:31" x14ac:dyDescent="0.25">
      <c r="A7" s="1" t="s">
        <v>434</v>
      </c>
    </row>
    <row r="8" spans="1:31" x14ac:dyDescent="0.25">
      <c r="A8" s="355" t="s">
        <v>440</v>
      </c>
    </row>
    <row r="9" spans="1:31" x14ac:dyDescent="0.25">
      <c r="A9" s="16"/>
    </row>
    <row r="10" spans="1:31" s="57" customFormat="1" ht="15.75" thickBot="1" x14ac:dyDescent="0.3">
      <c r="B10" s="57">
        <v>1</v>
      </c>
      <c r="C10" s="57">
        <v>2</v>
      </c>
      <c r="D10" s="57">
        <v>3</v>
      </c>
      <c r="E10" s="57">
        <v>4</v>
      </c>
      <c r="F10" s="57">
        <v>5</v>
      </c>
      <c r="G10" s="57">
        <v>6</v>
      </c>
      <c r="H10" s="57">
        <v>7</v>
      </c>
      <c r="I10" s="57">
        <v>8</v>
      </c>
      <c r="J10" s="57">
        <v>9</v>
      </c>
      <c r="K10" s="57">
        <v>10</v>
      </c>
      <c r="L10" s="57">
        <v>11</v>
      </c>
      <c r="M10" s="57">
        <v>12</v>
      </c>
      <c r="N10" s="57">
        <v>13</v>
      </c>
      <c r="O10" s="57">
        <v>14</v>
      </c>
      <c r="P10" s="57">
        <v>15</v>
      </c>
      <c r="Q10" s="57">
        <v>16</v>
      </c>
      <c r="R10" s="57">
        <v>17</v>
      </c>
      <c r="S10" s="57">
        <v>18</v>
      </c>
      <c r="T10" s="57">
        <v>19</v>
      </c>
      <c r="U10" s="57">
        <v>20</v>
      </c>
      <c r="V10" s="57">
        <v>21</v>
      </c>
      <c r="W10" s="57">
        <v>22</v>
      </c>
      <c r="X10" s="57">
        <v>23</v>
      </c>
      <c r="Y10" s="57">
        <v>24</v>
      </c>
      <c r="Z10" s="57">
        <v>25</v>
      </c>
      <c r="AA10" s="57">
        <v>26</v>
      </c>
      <c r="AB10" s="57">
        <v>27</v>
      </c>
    </row>
    <row r="11" spans="1:31" s="272" customFormat="1" ht="30" customHeight="1" thickBot="1" x14ac:dyDescent="0.3">
      <c r="A11" s="391" t="s">
        <v>11</v>
      </c>
      <c r="B11" s="395" t="s">
        <v>1</v>
      </c>
      <c r="C11" s="395" t="s">
        <v>21</v>
      </c>
      <c r="D11" s="399" t="s">
        <v>39</v>
      </c>
      <c r="E11" s="499" t="s">
        <v>212</v>
      </c>
      <c r="F11" s="500"/>
      <c r="G11" s="500"/>
      <c r="H11" s="500"/>
      <c r="I11" s="500"/>
      <c r="J11" s="500"/>
      <c r="K11" s="501"/>
      <c r="L11" s="501"/>
      <c r="M11" s="501"/>
      <c r="N11" s="501"/>
      <c r="O11" s="500"/>
      <c r="P11" s="500"/>
      <c r="Q11" s="500"/>
      <c r="R11" s="500"/>
      <c r="S11" s="500"/>
      <c r="T11" s="502"/>
      <c r="U11" s="271"/>
      <c r="V11" s="386" t="s">
        <v>304</v>
      </c>
      <c r="W11" s="387"/>
      <c r="X11" s="388"/>
      <c r="Y11" s="271"/>
      <c r="Z11" s="383" t="s">
        <v>375</v>
      </c>
      <c r="AA11" s="384"/>
      <c r="AB11" s="385"/>
    </row>
    <row r="12" spans="1:31" s="1" customFormat="1" ht="30" customHeight="1" thickBot="1" x14ac:dyDescent="0.25">
      <c r="A12" s="392"/>
      <c r="B12" s="396"/>
      <c r="C12" s="396"/>
      <c r="D12" s="400"/>
      <c r="E12" s="503" t="s">
        <v>131</v>
      </c>
      <c r="F12" s="504"/>
      <c r="G12" s="504"/>
      <c r="H12" s="504"/>
      <c r="I12" s="504"/>
      <c r="J12" s="504"/>
      <c r="K12" s="505" t="s">
        <v>290</v>
      </c>
      <c r="L12" s="506" t="s">
        <v>337</v>
      </c>
      <c r="M12" s="505" t="s">
        <v>287</v>
      </c>
      <c r="N12" s="505" t="s">
        <v>288</v>
      </c>
      <c r="O12" s="507" t="s">
        <v>342</v>
      </c>
      <c r="P12" s="508"/>
      <c r="Q12" s="509"/>
      <c r="R12" s="507" t="s">
        <v>343</v>
      </c>
      <c r="S12" s="508"/>
      <c r="T12" s="509"/>
      <c r="U12" s="72"/>
      <c r="V12" s="567" t="s">
        <v>338</v>
      </c>
      <c r="W12" s="568"/>
      <c r="X12" s="569"/>
      <c r="Y12" s="72"/>
      <c r="Z12" s="576" t="s">
        <v>130</v>
      </c>
      <c r="AA12" s="512" t="s">
        <v>129</v>
      </c>
      <c r="AB12" s="577" t="s">
        <v>87</v>
      </c>
      <c r="AC12" s="381" t="s">
        <v>345</v>
      </c>
      <c r="AD12" s="382" t="s">
        <v>346</v>
      </c>
    </row>
    <row r="13" spans="1:31" s="1" customFormat="1" ht="22.5" customHeight="1" thickBot="1" x14ac:dyDescent="0.25">
      <c r="A13" s="393"/>
      <c r="B13" s="397"/>
      <c r="C13" s="397"/>
      <c r="D13" s="401"/>
      <c r="E13" s="510" t="s">
        <v>75</v>
      </c>
      <c r="F13" s="511"/>
      <c r="G13" s="512" t="s">
        <v>93</v>
      </c>
      <c r="H13" s="512" t="s">
        <v>94</v>
      </c>
      <c r="I13" s="513" t="s">
        <v>108</v>
      </c>
      <c r="J13" s="514" t="s">
        <v>289</v>
      </c>
      <c r="K13" s="515"/>
      <c r="L13" s="516"/>
      <c r="M13" s="515"/>
      <c r="N13" s="515"/>
      <c r="O13" s="517"/>
      <c r="P13" s="518"/>
      <c r="Q13" s="519"/>
      <c r="R13" s="517"/>
      <c r="S13" s="518"/>
      <c r="T13" s="519"/>
      <c r="U13" s="72"/>
      <c r="V13" s="570"/>
      <c r="W13" s="571"/>
      <c r="X13" s="572"/>
      <c r="Y13" s="72"/>
      <c r="Z13" s="578"/>
      <c r="AA13" s="579"/>
      <c r="AB13" s="580"/>
      <c r="AC13" s="381"/>
      <c r="AD13" s="382"/>
    </row>
    <row r="14" spans="1:31" s="83" customFormat="1" ht="62.25" customHeight="1" thickBot="1" x14ac:dyDescent="0.3">
      <c r="A14" s="394"/>
      <c r="B14" s="398"/>
      <c r="C14" s="398"/>
      <c r="D14" s="402"/>
      <c r="E14" s="520" t="s">
        <v>75</v>
      </c>
      <c r="F14" s="521" t="s">
        <v>147</v>
      </c>
      <c r="G14" s="522"/>
      <c r="H14" s="522"/>
      <c r="I14" s="523"/>
      <c r="J14" s="524"/>
      <c r="K14" s="525"/>
      <c r="L14" s="526"/>
      <c r="M14" s="525"/>
      <c r="N14" s="525"/>
      <c r="O14" s="527" t="s">
        <v>439</v>
      </c>
      <c r="P14" s="528" t="s">
        <v>344</v>
      </c>
      <c r="Q14" s="529" t="s">
        <v>298</v>
      </c>
      <c r="R14" s="530" t="s">
        <v>442</v>
      </c>
      <c r="S14" s="531" t="s">
        <v>299</v>
      </c>
      <c r="T14" s="529" t="s">
        <v>298</v>
      </c>
      <c r="U14" s="57"/>
      <c r="V14" s="573" t="s">
        <v>441</v>
      </c>
      <c r="W14" s="574" t="s">
        <v>299</v>
      </c>
      <c r="X14" s="575" t="s">
        <v>298</v>
      </c>
      <c r="Y14" s="57"/>
      <c r="Z14" s="581"/>
      <c r="AA14" s="522"/>
      <c r="AB14" s="582"/>
      <c r="AC14" s="381"/>
      <c r="AD14" s="382"/>
    </row>
    <row r="15" spans="1:31" x14ac:dyDescent="0.25">
      <c r="A15" s="68" t="str">
        <f>'Indicadores (Desempeño)'!A5</f>
        <v>UNIVERSIDAD DE CHILE</v>
      </c>
      <c r="B15" s="69" t="str">
        <f>'Indicadores (Desempeño)'!B5</f>
        <v>UCH</v>
      </c>
      <c r="C15" s="70" t="str">
        <f>'Indicadores (Desempeño)'!C5</f>
        <v>CRUCH-ESTATAL</v>
      </c>
      <c r="D15" s="284" t="str">
        <f>'Indicadores (Desempeño)'!D5</f>
        <v>Categoría I</v>
      </c>
      <c r="E15" s="532">
        <v>2533255</v>
      </c>
      <c r="F15" s="533">
        <f t="shared" ref="F15:F32" si="0">E15*(1+$B$43)</f>
        <v>2621918.9249999998</v>
      </c>
      <c r="G15" s="533"/>
      <c r="H15" s="533">
        <v>0</v>
      </c>
      <c r="I15" s="534">
        <f>VLOOKUP(B15,Complejidad!$B$5:$K$22,10,0)</f>
        <v>5726097</v>
      </c>
      <c r="J15" s="535">
        <f>ROUND(SUM(F15:H15,I15),0)</f>
        <v>8348016</v>
      </c>
      <c r="K15" s="536">
        <f>IFERROR(VLOOKUP(B15,'Indicadores (Desempeño)'!$B$5:$AH$22,32,0),0)</f>
        <v>4394065</v>
      </c>
      <c r="L15" s="537">
        <f>+VLOOKUP(B15,Refuerzo!$B$5:$Q$22,16,0)</f>
        <v>1604871</v>
      </c>
      <c r="M15" s="535">
        <f>+J15+K15+L15</f>
        <v>14346952</v>
      </c>
      <c r="N15" s="538">
        <f>ROUND(M15,0)</f>
        <v>14346952</v>
      </c>
      <c r="O15" s="539">
        <f>+P15+Q15</f>
        <v>6259631</v>
      </c>
      <c r="P15" s="378">
        <f>VLOOKUP($B15,'Montos Anticipo AIUE 2025 '!$B$13:$L$30,10,FALSE)</f>
        <v>1877889</v>
      </c>
      <c r="Q15" s="379">
        <f>VLOOKUP($B15,'Montos Anticipo AIUE 2025 '!$B$13:$L$30,11,FALSE)</f>
        <v>4381742</v>
      </c>
      <c r="R15" s="540">
        <f>+S15+T15</f>
        <v>8087321</v>
      </c>
      <c r="S15" s="378">
        <v>6269063</v>
      </c>
      <c r="T15" s="380">
        <v>1818258</v>
      </c>
      <c r="U15" s="57"/>
      <c r="V15" s="543">
        <f t="shared" ref="V15:V31" si="1">+W15+X15</f>
        <v>0</v>
      </c>
      <c r="W15" s="269"/>
      <c r="X15" s="270"/>
      <c r="Y15" s="57"/>
      <c r="Z15" s="583">
        <f>+N15+V15</f>
        <v>14346952</v>
      </c>
      <c r="AA15" s="584">
        <f>ROUND(Z15,0)</f>
        <v>14346952</v>
      </c>
      <c r="AB15" s="585">
        <f>AA15/$AA$33</f>
        <v>0.14411779498895316</v>
      </c>
      <c r="AC15" s="267" t="str">
        <f t="shared" ref="AC15:AC32" si="2">+B15</f>
        <v>UCH</v>
      </c>
      <c r="AD15" s="200" t="s">
        <v>347</v>
      </c>
      <c r="AE15" s="592">
        <f>+O15+R15-N15</f>
        <v>0</v>
      </c>
    </row>
    <row r="16" spans="1:31" ht="15.75" customHeight="1" x14ac:dyDescent="0.25">
      <c r="A16" s="37" t="str">
        <f>'Indicadores (Desempeño)'!A6</f>
        <v>UNIVERSIDAD DE SANTIAGO DE CHILE</v>
      </c>
      <c r="B16" s="58" t="str">
        <f>'Indicadores (Desempeño)'!B6</f>
        <v>USA</v>
      </c>
      <c r="C16" s="59" t="str">
        <f>'Indicadores (Desempeño)'!C6</f>
        <v>CRUCH-ESTATAL</v>
      </c>
      <c r="D16" s="285" t="str">
        <f>'Indicadores (Desempeño)'!D6</f>
        <v>Categoría I</v>
      </c>
      <c r="E16" s="541">
        <v>654779</v>
      </c>
      <c r="F16" s="280">
        <f t="shared" si="0"/>
        <v>677696.2649999999</v>
      </c>
      <c r="G16" s="280"/>
      <c r="H16" s="280">
        <v>50000</v>
      </c>
      <c r="I16" s="542">
        <f>VLOOKUP(B16,Complejidad!$B$5:$K$22,10,0)</f>
        <v>2464361</v>
      </c>
      <c r="J16" s="543">
        <f t="shared" ref="J16:J32" si="3">ROUND(SUM(F16:H16,I16),0)</f>
        <v>3192057</v>
      </c>
      <c r="K16" s="536">
        <f>IFERROR(VLOOKUP(B16,'Indicadores (Desempeño)'!$B$5:$AH$22,32,0),0)</f>
        <v>4076421</v>
      </c>
      <c r="L16" s="544">
        <f>+VLOOKUP(B16,Refuerzo!$B$5:$Q$22,16,0)</f>
        <v>1120880</v>
      </c>
      <c r="M16" s="545">
        <f t="shared" ref="M16:M32" si="4">+J16+K16+L16</f>
        <v>8389358</v>
      </c>
      <c r="N16" s="546">
        <f t="shared" ref="N16:N32" si="5">ROUND(M16,0)</f>
        <v>8389358</v>
      </c>
      <c r="O16" s="539">
        <f t="shared" ref="O16:O32" si="6">+P16+Q16</f>
        <v>3558419</v>
      </c>
      <c r="P16" s="378">
        <f>VLOOKUP($B16,'Montos Anticipo AIUE 2025 '!$B$13:$L$30,10,FALSE)</f>
        <v>2490893</v>
      </c>
      <c r="Q16" s="379">
        <f>VLOOKUP($B16,'Montos Anticipo AIUE 2025 '!$B$13:$L$30,11,FALSE)</f>
        <v>1067526</v>
      </c>
      <c r="R16" s="539">
        <f t="shared" ref="R16:R32" si="7">+S16+T16</f>
        <v>4830939</v>
      </c>
      <c r="S16" s="378">
        <v>3380038</v>
      </c>
      <c r="T16" s="380">
        <v>1450901</v>
      </c>
      <c r="U16" s="57"/>
      <c r="V16" s="543">
        <f t="shared" si="1"/>
        <v>0</v>
      </c>
      <c r="W16" s="269"/>
      <c r="X16" s="270"/>
      <c r="Y16" s="57"/>
      <c r="Z16" s="583">
        <f t="shared" ref="Z16:Z32" si="8">+N16+V16</f>
        <v>8389358</v>
      </c>
      <c r="AA16" s="586">
        <f t="shared" ref="AA16:AA32" si="9">ROUND(Z16,0)</f>
        <v>8389358</v>
      </c>
      <c r="AB16" s="587">
        <f t="shared" ref="AB16:AB32" si="10">AA16/$AA$33</f>
        <v>8.4272657797484385E-2</v>
      </c>
      <c r="AC16" s="267" t="str">
        <f t="shared" si="2"/>
        <v>USA</v>
      </c>
      <c r="AD16" s="200" t="s">
        <v>347</v>
      </c>
      <c r="AE16" s="592">
        <f t="shared" ref="AE16:AE32" si="11">+O16+R16-N16</f>
        <v>0</v>
      </c>
    </row>
    <row r="17" spans="1:31" x14ac:dyDescent="0.25">
      <c r="A17" s="37" t="str">
        <f>'Indicadores (Desempeño)'!A7</f>
        <v>UNIVERSIDAD DE ANTOFAGASTA</v>
      </c>
      <c r="B17" s="58" t="str">
        <f>'Indicadores (Desempeño)'!B7</f>
        <v>ANT</v>
      </c>
      <c r="C17" s="59" t="str">
        <f>'Indicadores (Desempeño)'!C7</f>
        <v>CRUCH-ESTATAL</v>
      </c>
      <c r="D17" s="285" t="str">
        <f>'Indicadores (Desempeño)'!D7</f>
        <v>Categoría II</v>
      </c>
      <c r="E17" s="541">
        <v>64006</v>
      </c>
      <c r="F17" s="280">
        <f t="shared" si="0"/>
        <v>66246.209999999992</v>
      </c>
      <c r="G17" s="280"/>
      <c r="H17" s="280">
        <v>50000</v>
      </c>
      <c r="I17" s="542">
        <f>VLOOKUP(B17,Complejidad!$B$5:$K$22,10,0)</f>
        <v>1101993</v>
      </c>
      <c r="J17" s="543">
        <f t="shared" si="3"/>
        <v>1218239</v>
      </c>
      <c r="K17" s="536">
        <f>IFERROR(VLOOKUP(B17,'Indicadores (Desempeño)'!$B$5:$AH$22,32,0),0)</f>
        <v>2937813</v>
      </c>
      <c r="L17" s="544">
        <f>+VLOOKUP(B17,Refuerzo!$B$5:$Q$22,16,0)</f>
        <v>745470</v>
      </c>
      <c r="M17" s="545">
        <f t="shared" si="4"/>
        <v>4901522</v>
      </c>
      <c r="N17" s="546">
        <f t="shared" si="5"/>
        <v>4901522</v>
      </c>
      <c r="O17" s="539">
        <f t="shared" si="6"/>
        <v>2211986</v>
      </c>
      <c r="P17" s="378">
        <f>VLOOKUP($B17,'Montos Anticipo AIUE 2025 '!$B$13:$L$30,10,FALSE)</f>
        <v>1105993</v>
      </c>
      <c r="Q17" s="379">
        <f>VLOOKUP($B17,'Montos Anticipo AIUE 2025 '!$B$13:$L$30,11,FALSE)</f>
        <v>1105993</v>
      </c>
      <c r="R17" s="539">
        <f t="shared" si="7"/>
        <v>2689536</v>
      </c>
      <c r="S17" s="378">
        <v>1344768</v>
      </c>
      <c r="T17" s="380">
        <v>1344768</v>
      </c>
      <c r="U17" s="57"/>
      <c r="V17" s="543">
        <f t="shared" si="1"/>
        <v>0</v>
      </c>
      <c r="W17" s="269"/>
      <c r="X17" s="270"/>
      <c r="Y17" s="57"/>
      <c r="Z17" s="583">
        <f t="shared" si="8"/>
        <v>4901522</v>
      </c>
      <c r="AA17" s="586">
        <f t="shared" si="9"/>
        <v>4901522</v>
      </c>
      <c r="AB17" s="587">
        <f t="shared" si="10"/>
        <v>4.9236697992008596E-2</v>
      </c>
      <c r="AC17" s="267" t="str">
        <f t="shared" si="2"/>
        <v>ANT</v>
      </c>
      <c r="AD17" s="200" t="s">
        <v>348</v>
      </c>
      <c r="AE17" s="592">
        <f t="shared" si="11"/>
        <v>0</v>
      </c>
    </row>
    <row r="18" spans="1:31" x14ac:dyDescent="0.25">
      <c r="A18" s="37" t="str">
        <f>'Indicadores (Desempeño)'!A8</f>
        <v>UNIVERSIDAD DE LA FRONTERA</v>
      </c>
      <c r="B18" s="58" t="str">
        <f>'Indicadores (Desempeño)'!B8</f>
        <v>FRO</v>
      </c>
      <c r="C18" s="59" t="str">
        <f>'Indicadores (Desempeño)'!C8</f>
        <v>CRUCH-ESTATAL</v>
      </c>
      <c r="D18" s="285" t="str">
        <f>'Indicadores (Desempeño)'!D8</f>
        <v>Categoría II</v>
      </c>
      <c r="E18" s="541">
        <v>227255</v>
      </c>
      <c r="F18" s="280">
        <f t="shared" si="0"/>
        <v>235208.92499999999</v>
      </c>
      <c r="G18" s="280"/>
      <c r="H18" s="280">
        <v>50000</v>
      </c>
      <c r="I18" s="542">
        <f>VLOOKUP(B18,Complejidad!$B$5:$K$22,10,0)</f>
        <v>1770372</v>
      </c>
      <c r="J18" s="543">
        <f t="shared" si="3"/>
        <v>2055581</v>
      </c>
      <c r="K18" s="536">
        <f>IFERROR(VLOOKUP(B18,'Indicadores (Desempeño)'!$B$5:$AH$22,32,0),0)</f>
        <v>3367033</v>
      </c>
      <c r="L18" s="544">
        <f>+VLOOKUP(B18,Refuerzo!$B$5:$Q$22,16,0)</f>
        <v>948109</v>
      </c>
      <c r="M18" s="545">
        <f t="shared" si="4"/>
        <v>6370723</v>
      </c>
      <c r="N18" s="546">
        <f t="shared" si="5"/>
        <v>6370723</v>
      </c>
      <c r="O18" s="539">
        <f t="shared" si="6"/>
        <v>2699827</v>
      </c>
      <c r="P18" s="378">
        <f>VLOOKUP($B18,'Montos Anticipo AIUE 2025 '!$B$13:$L$30,10,FALSE)</f>
        <v>2699827</v>
      </c>
      <c r="Q18" s="379">
        <f>VLOOKUP($B18,'Montos Anticipo AIUE 2025 '!$B$13:$L$30,11,FALSE)</f>
        <v>0</v>
      </c>
      <c r="R18" s="539">
        <f t="shared" si="7"/>
        <v>3670896</v>
      </c>
      <c r="S18" s="378">
        <v>3474133</v>
      </c>
      <c r="T18" s="380">
        <v>196763</v>
      </c>
      <c r="U18" s="57"/>
      <c r="V18" s="543">
        <f t="shared" si="1"/>
        <v>0</v>
      </c>
      <c r="W18" s="269"/>
      <c r="X18" s="270"/>
      <c r="Y18" s="57"/>
      <c r="Z18" s="583">
        <f t="shared" si="8"/>
        <v>6370723</v>
      </c>
      <c r="AA18" s="586">
        <f t="shared" si="9"/>
        <v>6370723</v>
      </c>
      <c r="AB18" s="587">
        <f t="shared" si="10"/>
        <v>6.3995094654628285E-2</v>
      </c>
      <c r="AC18" s="267" t="str">
        <f t="shared" si="2"/>
        <v>FRO</v>
      </c>
      <c r="AD18" s="200" t="s">
        <v>349</v>
      </c>
      <c r="AE18" s="592">
        <f t="shared" si="11"/>
        <v>0</v>
      </c>
    </row>
    <row r="19" spans="1:31" x14ac:dyDescent="0.25">
      <c r="A19" s="37" t="str">
        <f>'Indicadores (Desempeño)'!A9</f>
        <v>UNIVERSIDAD DE TALCA</v>
      </c>
      <c r="B19" s="58" t="str">
        <f>'Indicadores (Desempeño)'!B9</f>
        <v>TAL</v>
      </c>
      <c r="C19" s="59" t="str">
        <f>'Indicadores (Desempeño)'!C9</f>
        <v>CRUCH-ESTATAL</v>
      </c>
      <c r="D19" s="285" t="str">
        <f>'Indicadores (Desempeño)'!D9</f>
        <v>Categoría I</v>
      </c>
      <c r="E19" s="541">
        <v>224727</v>
      </c>
      <c r="F19" s="280">
        <f t="shared" si="0"/>
        <v>232592.44499999998</v>
      </c>
      <c r="G19" s="280"/>
      <c r="H19" s="280">
        <v>50000</v>
      </c>
      <c r="I19" s="542">
        <f>VLOOKUP(B19,Complejidad!$B$5:$K$22,10,0)</f>
        <v>1688903</v>
      </c>
      <c r="J19" s="543">
        <f t="shared" si="3"/>
        <v>1971495</v>
      </c>
      <c r="K19" s="536">
        <f>IFERROR(VLOOKUP(B19,'Indicadores (Desempeño)'!$B$5:$AH$22,32,0),0)</f>
        <v>4579862</v>
      </c>
      <c r="L19" s="544">
        <f>+VLOOKUP(B19,Refuerzo!$B$5:$Q$22,16,0)</f>
        <v>863761</v>
      </c>
      <c r="M19" s="545">
        <f t="shared" si="4"/>
        <v>7415118</v>
      </c>
      <c r="N19" s="546">
        <f t="shared" si="5"/>
        <v>7415118</v>
      </c>
      <c r="O19" s="539">
        <f t="shared" si="6"/>
        <v>3293216</v>
      </c>
      <c r="P19" s="378">
        <f>VLOOKUP($B19,'Montos Anticipo AIUE 2025 '!$B$13:$L$30,10,FALSE)</f>
        <v>2300200</v>
      </c>
      <c r="Q19" s="379">
        <f>VLOOKUP($B19,'Montos Anticipo AIUE 2025 '!$B$13:$L$30,11,FALSE)</f>
        <v>993016</v>
      </c>
      <c r="R19" s="539">
        <f t="shared" si="7"/>
        <v>4121902</v>
      </c>
      <c r="S19" s="378">
        <v>2888951</v>
      </c>
      <c r="T19" s="380">
        <v>1232951</v>
      </c>
      <c r="U19" s="57"/>
      <c r="V19" s="543">
        <f t="shared" si="1"/>
        <v>0</v>
      </c>
      <c r="W19" s="269"/>
      <c r="X19" s="270"/>
      <c r="Y19" s="57"/>
      <c r="Z19" s="583">
        <f t="shared" si="8"/>
        <v>7415118</v>
      </c>
      <c r="AA19" s="586">
        <f t="shared" si="9"/>
        <v>7415118</v>
      </c>
      <c r="AB19" s="587">
        <f t="shared" si="10"/>
        <v>7.4486236222362515E-2</v>
      </c>
      <c r="AC19" s="267" t="str">
        <f t="shared" si="2"/>
        <v>TAL</v>
      </c>
      <c r="AD19" s="200" t="s">
        <v>350</v>
      </c>
      <c r="AE19" s="592">
        <f t="shared" si="11"/>
        <v>0</v>
      </c>
    </row>
    <row r="20" spans="1:31" x14ac:dyDescent="0.25">
      <c r="A20" s="37" t="str">
        <f>'Indicadores (Desempeño)'!A10</f>
        <v>UNIVERSIDAD DE TARAPACÁ</v>
      </c>
      <c r="B20" s="58" t="str">
        <f>'Indicadores (Desempeño)'!B10</f>
        <v>UTA</v>
      </c>
      <c r="C20" s="59" t="str">
        <f>'Indicadores (Desempeño)'!C10</f>
        <v>CRUCH-ESTATAL</v>
      </c>
      <c r="D20" s="285" t="str">
        <f>'Indicadores (Desempeño)'!D10</f>
        <v>Categoría II</v>
      </c>
      <c r="E20" s="541">
        <v>25944</v>
      </c>
      <c r="F20" s="280">
        <f t="shared" si="0"/>
        <v>26852.039999999997</v>
      </c>
      <c r="G20" s="280"/>
      <c r="H20" s="280">
        <v>50000</v>
      </c>
      <c r="I20" s="542">
        <f>VLOOKUP(B20,Complejidad!$B$5:$K$22,10,0)</f>
        <v>1450215</v>
      </c>
      <c r="J20" s="543">
        <f t="shared" si="3"/>
        <v>1527067</v>
      </c>
      <c r="K20" s="536">
        <f>IFERROR(VLOOKUP(B20,'Indicadores (Desempeño)'!$B$5:$AH$22,32,0),0)</f>
        <v>3560173</v>
      </c>
      <c r="L20" s="544">
        <f>+VLOOKUP(B20,Refuerzo!$B$5:$Q$22,16,0)</f>
        <v>813791</v>
      </c>
      <c r="M20" s="545">
        <f t="shared" si="4"/>
        <v>5901031</v>
      </c>
      <c r="N20" s="546">
        <f t="shared" si="5"/>
        <v>5901031</v>
      </c>
      <c r="O20" s="539">
        <f t="shared" si="6"/>
        <v>3123246</v>
      </c>
      <c r="P20" s="378">
        <f>VLOOKUP($B20,'Montos Anticipo AIUE 2025 '!$B$13:$L$30,10,FALSE)</f>
        <v>3123246</v>
      </c>
      <c r="Q20" s="379">
        <f>VLOOKUP($B20,'Montos Anticipo AIUE 2025 '!$B$13:$L$30,11,FALSE)</f>
        <v>0</v>
      </c>
      <c r="R20" s="539">
        <f t="shared" si="7"/>
        <v>2777785</v>
      </c>
      <c r="S20" s="378">
        <v>1006337</v>
      </c>
      <c r="T20" s="380">
        <v>1771448</v>
      </c>
      <c r="U20" s="57"/>
      <c r="V20" s="543">
        <f t="shared" si="1"/>
        <v>0</v>
      </c>
      <c r="W20" s="269"/>
      <c r="X20" s="270"/>
      <c r="Y20" s="57"/>
      <c r="Z20" s="583">
        <f t="shared" si="8"/>
        <v>5901031</v>
      </c>
      <c r="AA20" s="586">
        <f t="shared" si="9"/>
        <v>5901031</v>
      </c>
      <c r="AB20" s="587">
        <f t="shared" si="10"/>
        <v>5.9276951360920233E-2</v>
      </c>
      <c r="AC20" s="267" t="str">
        <f t="shared" si="2"/>
        <v>UTA</v>
      </c>
      <c r="AD20" s="200" t="s">
        <v>351</v>
      </c>
      <c r="AE20" s="592">
        <f t="shared" si="11"/>
        <v>0</v>
      </c>
    </row>
    <row r="21" spans="1:31" x14ac:dyDescent="0.25">
      <c r="A21" s="37" t="str">
        <f>'Indicadores (Desempeño)'!A11</f>
        <v>UNIVERSIDAD DE VALPARAÍSO</v>
      </c>
      <c r="B21" s="58" t="str">
        <f>'Indicadores (Desempeño)'!B11</f>
        <v>UVA</v>
      </c>
      <c r="C21" s="59" t="str">
        <f>'Indicadores (Desempeño)'!C11</f>
        <v>CRUCH-ESTATAL</v>
      </c>
      <c r="D21" s="285" t="str">
        <f>'Indicadores (Desempeño)'!D11</f>
        <v>Categoría I</v>
      </c>
      <c r="E21" s="541">
        <v>281374</v>
      </c>
      <c r="F21" s="280">
        <f t="shared" si="0"/>
        <v>291222.08999999997</v>
      </c>
      <c r="G21" s="280"/>
      <c r="H21" s="280"/>
      <c r="I21" s="542">
        <f>VLOOKUP(B21,Complejidad!$B$5:$K$22,10,0)</f>
        <v>1827474</v>
      </c>
      <c r="J21" s="543">
        <f t="shared" si="3"/>
        <v>2118696</v>
      </c>
      <c r="K21" s="536">
        <f>IFERROR(VLOOKUP(B21,'Indicadores (Desempeño)'!$B$5:$AH$22,32,0),0)</f>
        <v>3627283</v>
      </c>
      <c r="L21" s="544">
        <f>+VLOOKUP(B21,Refuerzo!$B$5:$Q$22,16,0)</f>
        <v>947278</v>
      </c>
      <c r="M21" s="545">
        <f t="shared" si="4"/>
        <v>6693257</v>
      </c>
      <c r="N21" s="546">
        <f t="shared" si="5"/>
        <v>6693257</v>
      </c>
      <c r="O21" s="539">
        <f t="shared" si="6"/>
        <v>2597714</v>
      </c>
      <c r="P21" s="378">
        <f>VLOOKUP($B21,'Montos Anticipo AIUE 2025 '!$B$13:$L$30,10,FALSE)</f>
        <v>1298857</v>
      </c>
      <c r="Q21" s="379">
        <f>VLOOKUP($B21,'Montos Anticipo AIUE 2025 '!$B$13:$L$30,11,FALSE)</f>
        <v>1298857</v>
      </c>
      <c r="R21" s="539">
        <f t="shared" si="7"/>
        <v>4095543</v>
      </c>
      <c r="S21" s="378">
        <v>3051760</v>
      </c>
      <c r="T21" s="380">
        <v>1043783</v>
      </c>
      <c r="U21" s="57"/>
      <c r="V21" s="543">
        <f t="shared" si="1"/>
        <v>0</v>
      </c>
      <c r="W21" s="269"/>
      <c r="X21" s="270"/>
      <c r="Y21" s="57"/>
      <c r="Z21" s="583">
        <f t="shared" si="8"/>
        <v>6693257</v>
      </c>
      <c r="AA21" s="586">
        <f t="shared" si="9"/>
        <v>6693257</v>
      </c>
      <c r="AB21" s="587">
        <f t="shared" si="10"/>
        <v>6.7235008532430834E-2</v>
      </c>
      <c r="AC21" s="267" t="str">
        <f t="shared" si="2"/>
        <v>UVA</v>
      </c>
      <c r="AD21" s="200" t="s">
        <v>352</v>
      </c>
      <c r="AE21" s="592">
        <f t="shared" si="11"/>
        <v>0</v>
      </c>
    </row>
    <row r="22" spans="1:31" x14ac:dyDescent="0.25">
      <c r="A22" s="37" t="str">
        <f>'Indicadores (Desempeño)'!A12</f>
        <v>UNIVERSIDAD DEL BÍO-BÍO</v>
      </c>
      <c r="B22" s="58" t="str">
        <f>'Indicadores (Desempeño)'!B12</f>
        <v>UBB</v>
      </c>
      <c r="C22" s="59" t="str">
        <f>'Indicadores (Desempeño)'!C12</f>
        <v>CRUCH-ESTATAL</v>
      </c>
      <c r="D22" s="285" t="str">
        <f>'Indicadores (Desempeño)'!D12</f>
        <v>Categoría II</v>
      </c>
      <c r="E22" s="541">
        <v>99466</v>
      </c>
      <c r="F22" s="280">
        <f t="shared" si="0"/>
        <v>102947.31</v>
      </c>
      <c r="G22" s="280"/>
      <c r="H22" s="280">
        <v>50000</v>
      </c>
      <c r="I22" s="542">
        <f>VLOOKUP(B22,Complejidad!$B$5:$K$22,10,0)</f>
        <v>1363158</v>
      </c>
      <c r="J22" s="543">
        <f t="shared" si="3"/>
        <v>1516105</v>
      </c>
      <c r="K22" s="536">
        <f>IFERROR(VLOOKUP(B22,'Indicadores (Desempeño)'!$B$5:$AH$22,32,0),0)</f>
        <v>3125181</v>
      </c>
      <c r="L22" s="544">
        <f>+VLOOKUP(B22,Refuerzo!$B$5:$Q$22,16,0)</f>
        <v>897807</v>
      </c>
      <c r="M22" s="545">
        <f t="shared" si="4"/>
        <v>5539093</v>
      </c>
      <c r="N22" s="546">
        <f t="shared" si="5"/>
        <v>5539093</v>
      </c>
      <c r="O22" s="539">
        <f t="shared" si="6"/>
        <v>2346789</v>
      </c>
      <c r="P22" s="378">
        <f>VLOOKUP($B22,'Montos Anticipo AIUE 2025 '!$B$13:$L$30,10,FALSE)</f>
        <v>1408073</v>
      </c>
      <c r="Q22" s="379">
        <f>VLOOKUP($B22,'Montos Anticipo AIUE 2025 '!$B$13:$L$30,11,FALSE)</f>
        <v>938716</v>
      </c>
      <c r="R22" s="539">
        <f t="shared" si="7"/>
        <v>3192304</v>
      </c>
      <c r="S22" s="378">
        <v>2468223</v>
      </c>
      <c r="T22" s="380">
        <v>724081</v>
      </c>
      <c r="U22" s="57"/>
      <c r="V22" s="543">
        <f t="shared" si="1"/>
        <v>0</v>
      </c>
      <c r="W22" s="269"/>
      <c r="X22" s="270"/>
      <c r="Y22" s="57"/>
      <c r="Z22" s="583">
        <f t="shared" si="8"/>
        <v>5539093</v>
      </c>
      <c r="AA22" s="586">
        <f t="shared" si="9"/>
        <v>5539093</v>
      </c>
      <c r="AB22" s="587">
        <f t="shared" si="10"/>
        <v>5.564121699150771E-2</v>
      </c>
      <c r="AC22" s="267" t="str">
        <f t="shared" si="2"/>
        <v>UBB</v>
      </c>
      <c r="AD22" s="200" t="s">
        <v>353</v>
      </c>
      <c r="AE22" s="592">
        <f t="shared" si="11"/>
        <v>0</v>
      </c>
    </row>
    <row r="23" spans="1:31" x14ac:dyDescent="0.25">
      <c r="A23" s="37" t="str">
        <f>'Indicadores (Desempeño)'!A13</f>
        <v>UNIVERSIDAD DE LA SERENA</v>
      </c>
      <c r="B23" s="58" t="str">
        <f>'Indicadores (Desempeño)'!B13</f>
        <v>ULS</v>
      </c>
      <c r="C23" s="59" t="str">
        <f>'Indicadores (Desempeño)'!C13</f>
        <v>CRUCH-ESTATAL</v>
      </c>
      <c r="D23" s="285" t="str">
        <f>'Indicadores (Desempeño)'!D13</f>
        <v>Categoría II</v>
      </c>
      <c r="E23" s="541">
        <v>108535</v>
      </c>
      <c r="F23" s="280">
        <f t="shared" si="0"/>
        <v>112333.72499999999</v>
      </c>
      <c r="G23" s="280"/>
      <c r="H23" s="280">
        <v>50000</v>
      </c>
      <c r="I23" s="542">
        <f>VLOOKUP(B23,Complejidad!$B$5:$K$22,10,0)</f>
        <v>876582</v>
      </c>
      <c r="J23" s="543">
        <f t="shared" si="3"/>
        <v>1038916</v>
      </c>
      <c r="K23" s="536">
        <f>IFERROR(VLOOKUP(B23,'Indicadores (Desempeño)'!$B$5:$AH$22,32,0),0)</f>
        <v>2995175</v>
      </c>
      <c r="L23" s="544">
        <f>+VLOOKUP(B23,Refuerzo!$B$5:$Q$22,16,0)</f>
        <v>814042</v>
      </c>
      <c r="M23" s="545">
        <f t="shared" si="4"/>
        <v>4848133</v>
      </c>
      <c r="N23" s="546">
        <f t="shared" si="5"/>
        <v>4848133</v>
      </c>
      <c r="O23" s="539">
        <f t="shared" si="6"/>
        <v>1880323</v>
      </c>
      <c r="P23" s="378">
        <f>VLOOKUP($B23,'Montos Anticipo AIUE 2025 '!$B$13:$L$30,10,FALSE)</f>
        <v>1316226</v>
      </c>
      <c r="Q23" s="379">
        <f>VLOOKUP($B23,'Montos Anticipo AIUE 2025 '!$B$13:$L$30,11,FALSE)</f>
        <v>564097</v>
      </c>
      <c r="R23" s="539">
        <f t="shared" si="7"/>
        <v>2967810</v>
      </c>
      <c r="S23" s="378">
        <v>2076531</v>
      </c>
      <c r="T23" s="380">
        <v>891279</v>
      </c>
      <c r="U23" s="57"/>
      <c r="V23" s="543">
        <f t="shared" si="1"/>
        <v>0</v>
      </c>
      <c r="W23" s="269"/>
      <c r="X23" s="270"/>
      <c r="Y23" s="57"/>
      <c r="Z23" s="583">
        <f>+N23+V23</f>
        <v>4848133</v>
      </c>
      <c r="AA23" s="586">
        <f t="shared" si="9"/>
        <v>4848133</v>
      </c>
      <c r="AB23" s="587">
        <f t="shared" si="10"/>
        <v>4.8700395580411678E-2</v>
      </c>
      <c r="AC23" s="267" t="str">
        <f t="shared" si="2"/>
        <v>ULS</v>
      </c>
      <c r="AD23" s="200" t="s">
        <v>354</v>
      </c>
      <c r="AE23" s="592">
        <f t="shared" si="11"/>
        <v>0</v>
      </c>
    </row>
    <row r="24" spans="1:31" x14ac:dyDescent="0.25">
      <c r="A24" s="37" t="str">
        <f>'Indicadores (Desempeño)'!A14</f>
        <v>UNIVERSIDAD DE PLAYA ANCHA CS. EDUCACIÓN</v>
      </c>
      <c r="B24" s="58" t="str">
        <f>'Indicadores (Desempeño)'!B14</f>
        <v>UPA</v>
      </c>
      <c r="C24" s="59" t="str">
        <f>'Indicadores (Desempeño)'!C14</f>
        <v>CRUCH-ESTATAL</v>
      </c>
      <c r="D24" s="285" t="str">
        <f>'Indicadores (Desempeño)'!D14</f>
        <v>Categoría II</v>
      </c>
      <c r="E24" s="541">
        <v>24829</v>
      </c>
      <c r="F24" s="280">
        <f t="shared" si="0"/>
        <v>25698.014999999999</v>
      </c>
      <c r="G24" s="280"/>
      <c r="H24" s="280">
        <v>50000</v>
      </c>
      <c r="I24" s="542">
        <f>VLOOKUP(B24,Complejidad!$B$5:$K$22,10,0)</f>
        <v>663088</v>
      </c>
      <c r="J24" s="543">
        <f t="shared" si="3"/>
        <v>738786</v>
      </c>
      <c r="K24" s="536">
        <f>IFERROR(VLOOKUP(B24,'Indicadores (Desempeño)'!$B$5:$AH$22,32,0),0)</f>
        <v>2250142</v>
      </c>
      <c r="L24" s="544">
        <f>+VLOOKUP(B24,Refuerzo!$B$5:$Q$22,16,0)</f>
        <v>814421</v>
      </c>
      <c r="M24" s="545">
        <f t="shared" si="4"/>
        <v>3803349</v>
      </c>
      <c r="N24" s="546">
        <f t="shared" si="5"/>
        <v>3803349</v>
      </c>
      <c r="O24" s="539">
        <f t="shared" si="6"/>
        <v>1749639</v>
      </c>
      <c r="P24" s="378">
        <f>VLOOKUP($B24,'Montos Anticipo AIUE 2025 '!$B$13:$L$30,10,FALSE)</f>
        <v>1500000</v>
      </c>
      <c r="Q24" s="379">
        <f>VLOOKUP($B24,'Montos Anticipo AIUE 2025 '!$B$13:$L$30,11,FALSE)</f>
        <v>249639</v>
      </c>
      <c r="R24" s="539">
        <f t="shared" si="7"/>
        <v>2053710</v>
      </c>
      <c r="S24" s="378">
        <v>1732847</v>
      </c>
      <c r="T24" s="380">
        <v>320863</v>
      </c>
      <c r="U24" s="57"/>
      <c r="V24" s="543">
        <f t="shared" si="1"/>
        <v>0</v>
      </c>
      <c r="W24" s="269"/>
      <c r="X24" s="270"/>
      <c r="Y24" s="57"/>
      <c r="Z24" s="583">
        <f>+N24+V24</f>
        <v>3803349</v>
      </c>
      <c r="AA24" s="586">
        <f t="shared" si="9"/>
        <v>3803349</v>
      </c>
      <c r="AB24" s="587">
        <f t="shared" si="10"/>
        <v>3.8205346435496543E-2</v>
      </c>
      <c r="AC24" s="267" t="str">
        <f t="shared" si="2"/>
        <v>UPA</v>
      </c>
      <c r="AD24" s="200" t="s">
        <v>352</v>
      </c>
      <c r="AE24" s="592">
        <f t="shared" si="11"/>
        <v>0</v>
      </c>
    </row>
    <row r="25" spans="1:31" x14ac:dyDescent="0.25">
      <c r="A25" s="37" t="str">
        <f>'Indicadores (Desempeño)'!A15</f>
        <v>UNIVERSIDAD ARTURO PRAT</v>
      </c>
      <c r="B25" s="58" t="str">
        <f>'Indicadores (Desempeño)'!B15</f>
        <v>UAP</v>
      </c>
      <c r="C25" s="59" t="str">
        <f>'Indicadores (Desempeño)'!C15</f>
        <v>CRUCH-ESTATAL</v>
      </c>
      <c r="D25" s="285" t="str">
        <f>'Indicadores (Desempeño)'!D15</f>
        <v>Categoría II</v>
      </c>
      <c r="E25" s="541">
        <v>15240</v>
      </c>
      <c r="F25" s="280">
        <f t="shared" si="0"/>
        <v>15773.4</v>
      </c>
      <c r="G25" s="280"/>
      <c r="H25" s="280">
        <v>50000</v>
      </c>
      <c r="I25" s="542">
        <f>VLOOKUP(B25,Complejidad!$B$5:$K$22,10,0)</f>
        <v>525996</v>
      </c>
      <c r="J25" s="543">
        <f t="shared" si="3"/>
        <v>591769</v>
      </c>
      <c r="K25" s="536">
        <f>IFERROR(VLOOKUP(B25,'Indicadores (Desempeño)'!$B$5:$AH$22,32,0),0)</f>
        <v>2279146</v>
      </c>
      <c r="L25" s="544">
        <f>+VLOOKUP(B25,Refuerzo!$B$5:$Q$22,16,0)</f>
        <v>738624</v>
      </c>
      <c r="M25" s="545">
        <f t="shared" si="4"/>
        <v>3609539</v>
      </c>
      <c r="N25" s="546">
        <f t="shared" si="5"/>
        <v>3609539</v>
      </c>
      <c r="O25" s="539">
        <f t="shared" si="6"/>
        <v>1570135</v>
      </c>
      <c r="P25" s="378">
        <f>VLOOKUP($B25,'Montos Anticipo AIUE 2025 '!$B$13:$L$30,10,FALSE)</f>
        <v>1336000</v>
      </c>
      <c r="Q25" s="379">
        <f>VLOOKUP($B25,'Montos Anticipo AIUE 2025 '!$B$13:$L$30,11,FALSE)</f>
        <v>234135</v>
      </c>
      <c r="R25" s="539">
        <f t="shared" si="7"/>
        <v>2039404</v>
      </c>
      <c r="S25" s="378">
        <v>1736000</v>
      </c>
      <c r="T25" s="380">
        <v>303404</v>
      </c>
      <c r="U25" s="57"/>
      <c r="V25" s="543">
        <f t="shared" si="1"/>
        <v>0</v>
      </c>
      <c r="W25" s="269"/>
      <c r="X25" s="270"/>
      <c r="Y25" s="57"/>
      <c r="Z25" s="583">
        <f t="shared" si="8"/>
        <v>3609539</v>
      </c>
      <c r="AA25" s="586">
        <f t="shared" si="9"/>
        <v>3609539</v>
      </c>
      <c r="AB25" s="587">
        <f t="shared" si="10"/>
        <v>3.625848902307828E-2</v>
      </c>
      <c r="AC25" s="267" t="str">
        <f t="shared" si="2"/>
        <v>UAP</v>
      </c>
      <c r="AD25" s="200" t="s">
        <v>355</v>
      </c>
      <c r="AE25" s="592">
        <f t="shared" si="11"/>
        <v>0</v>
      </c>
    </row>
    <row r="26" spans="1:31" x14ac:dyDescent="0.25">
      <c r="A26" s="37" t="str">
        <f>'Indicadores (Desempeño)'!A16</f>
        <v>UNIVERSIDAD DE ATACAMA</v>
      </c>
      <c r="B26" s="58" t="str">
        <f>'Indicadores (Desempeño)'!B16</f>
        <v>ATA</v>
      </c>
      <c r="C26" s="59" t="str">
        <f>'Indicadores (Desempeño)'!C16</f>
        <v>CRUCH-ESTATAL</v>
      </c>
      <c r="D26" s="285" t="str">
        <f>'Indicadores (Desempeño)'!D16</f>
        <v>Categoría II</v>
      </c>
      <c r="E26" s="541">
        <v>21261</v>
      </c>
      <c r="F26" s="280">
        <f t="shared" si="0"/>
        <v>22005.134999999998</v>
      </c>
      <c r="G26" s="280"/>
      <c r="H26" s="280">
        <v>50000</v>
      </c>
      <c r="I26" s="542">
        <f>VLOOKUP(B26,Complejidad!$B$5:$K$22,10,0)</f>
        <v>713704</v>
      </c>
      <c r="J26" s="543">
        <f t="shared" si="3"/>
        <v>785709</v>
      </c>
      <c r="K26" s="536">
        <f>IFERROR(VLOOKUP(B26,'Indicadores (Desempeño)'!$B$5:$AH$22,32,0),0)</f>
        <v>2382385</v>
      </c>
      <c r="L26" s="544">
        <f>+VLOOKUP(B26,Refuerzo!$B$5:$Q$22,16,0)</f>
        <v>713322</v>
      </c>
      <c r="M26" s="545">
        <f t="shared" si="4"/>
        <v>3881416</v>
      </c>
      <c r="N26" s="546">
        <f t="shared" si="5"/>
        <v>3881416</v>
      </c>
      <c r="O26" s="539">
        <f t="shared" si="6"/>
        <v>1826450</v>
      </c>
      <c r="P26" s="378">
        <f>VLOOKUP($B26,'Montos Anticipo AIUE 2025 '!$B$13:$L$30,10,FALSE)</f>
        <v>1113822</v>
      </c>
      <c r="Q26" s="379">
        <f>VLOOKUP($B26,'Montos Anticipo AIUE 2025 '!$B$13:$L$30,11,FALSE)</f>
        <v>712628</v>
      </c>
      <c r="R26" s="539">
        <f t="shared" si="7"/>
        <v>2054966</v>
      </c>
      <c r="S26" s="378">
        <v>2054966</v>
      </c>
      <c r="T26" s="380">
        <v>0</v>
      </c>
      <c r="U26" s="57"/>
      <c r="V26" s="543">
        <f t="shared" si="1"/>
        <v>0</v>
      </c>
      <c r="W26" s="269"/>
      <c r="X26" s="270"/>
      <c r="Y26" s="57"/>
      <c r="Z26" s="583">
        <f t="shared" si="8"/>
        <v>3881416</v>
      </c>
      <c r="AA26" s="586">
        <f t="shared" si="9"/>
        <v>3881416</v>
      </c>
      <c r="AB26" s="587">
        <f t="shared" si="10"/>
        <v>3.8989543936220221E-2</v>
      </c>
      <c r="AC26" s="267" t="str">
        <f t="shared" si="2"/>
        <v>ATA</v>
      </c>
      <c r="AD26" s="200" t="s">
        <v>356</v>
      </c>
      <c r="AE26" s="592">
        <f t="shared" si="11"/>
        <v>0</v>
      </c>
    </row>
    <row r="27" spans="1:31" x14ac:dyDescent="0.25">
      <c r="A27" s="37" t="str">
        <f>'Indicadores (Desempeño)'!A17</f>
        <v>UNIVERSIDAD DE LOS LAGOS</v>
      </c>
      <c r="B27" s="58" t="str">
        <f>'Indicadores (Desempeño)'!B17</f>
        <v>ULA</v>
      </c>
      <c r="C27" s="59" t="str">
        <f>'Indicadores (Desempeño)'!C17</f>
        <v>CRUCH-ESTATAL</v>
      </c>
      <c r="D27" s="285" t="str">
        <f>'Indicadores (Desempeño)'!D17</f>
        <v>Categoría II</v>
      </c>
      <c r="E27" s="541">
        <v>9441</v>
      </c>
      <c r="F27" s="280">
        <f t="shared" si="0"/>
        <v>9771.4349999999995</v>
      </c>
      <c r="G27" s="280"/>
      <c r="H27" s="280">
        <v>100000</v>
      </c>
      <c r="I27" s="542">
        <f>VLOOKUP(B27,Complejidad!$B$5:$K$22,10,0)</f>
        <v>958055</v>
      </c>
      <c r="J27" s="543">
        <f t="shared" si="3"/>
        <v>1067826</v>
      </c>
      <c r="K27" s="536">
        <f>IFERROR(VLOOKUP(B27,'Indicadores (Desempeño)'!$B$5:$AH$22,32,0),0)</f>
        <v>2410429</v>
      </c>
      <c r="L27" s="544">
        <f>+VLOOKUP(B27,Refuerzo!$B$5:$Q$22,16,0)</f>
        <v>871682</v>
      </c>
      <c r="M27" s="545">
        <f t="shared" si="4"/>
        <v>4349937</v>
      </c>
      <c r="N27" s="546">
        <f t="shared" si="5"/>
        <v>4349937</v>
      </c>
      <c r="O27" s="539">
        <f t="shared" si="6"/>
        <v>1983295</v>
      </c>
      <c r="P27" s="378">
        <f>VLOOKUP($B27,'Montos Anticipo AIUE 2025 '!$B$13:$L$30,10,FALSE)</f>
        <v>1300000</v>
      </c>
      <c r="Q27" s="379">
        <f>VLOOKUP($B27,'Montos Anticipo AIUE 2025 '!$B$13:$L$30,11,FALSE)</f>
        <v>683295</v>
      </c>
      <c r="R27" s="539">
        <f t="shared" si="7"/>
        <v>2366642</v>
      </c>
      <c r="S27" s="378">
        <v>1049937</v>
      </c>
      <c r="T27" s="380">
        <v>1316705</v>
      </c>
      <c r="U27" s="57"/>
      <c r="V27" s="543">
        <f t="shared" si="1"/>
        <v>0</v>
      </c>
      <c r="W27" s="269"/>
      <c r="X27" s="270"/>
      <c r="Y27" s="57"/>
      <c r="Z27" s="583">
        <f t="shared" si="8"/>
        <v>4349937</v>
      </c>
      <c r="AA27" s="586">
        <f t="shared" si="9"/>
        <v>4349937</v>
      </c>
      <c r="AB27" s="587">
        <f t="shared" si="10"/>
        <v>4.3695924317643353E-2</v>
      </c>
      <c r="AC27" s="267" t="str">
        <f t="shared" si="2"/>
        <v>ULA</v>
      </c>
      <c r="AD27" s="200" t="s">
        <v>429</v>
      </c>
      <c r="AE27" s="592">
        <f t="shared" si="11"/>
        <v>0</v>
      </c>
    </row>
    <row r="28" spans="1:31" x14ac:dyDescent="0.25">
      <c r="A28" s="37" t="str">
        <f>'Indicadores (Desempeño)'!A18</f>
        <v>UNIVERSIDAD DE MAGALLANES</v>
      </c>
      <c r="B28" s="58" t="str">
        <f>'Indicadores (Desempeño)'!B18</f>
        <v>MAG</v>
      </c>
      <c r="C28" s="59" t="str">
        <f>'Indicadores (Desempeño)'!C18</f>
        <v>CRUCH-ESTATAL</v>
      </c>
      <c r="D28" s="285" t="str">
        <f>'Indicadores (Desempeño)'!D18</f>
        <v>Categoría II</v>
      </c>
      <c r="E28" s="541">
        <v>26019</v>
      </c>
      <c r="F28" s="280">
        <f t="shared" si="0"/>
        <v>26929.664999999997</v>
      </c>
      <c r="G28" s="280"/>
      <c r="H28" s="280">
        <v>50000</v>
      </c>
      <c r="I28" s="542">
        <f>VLOOKUP(B28,Complejidad!$B$5:$K$22,10,0)</f>
        <v>632453</v>
      </c>
      <c r="J28" s="543">
        <f t="shared" si="3"/>
        <v>709383</v>
      </c>
      <c r="K28" s="536">
        <f>IFERROR(VLOOKUP(B28,'Indicadores (Desempeño)'!$B$5:$AH$22,32,0),0)</f>
        <v>2600993</v>
      </c>
      <c r="L28" s="544">
        <f>+VLOOKUP(B28,Refuerzo!$B$5:$Q$22,16,0)</f>
        <v>736280</v>
      </c>
      <c r="M28" s="545">
        <f t="shared" si="4"/>
        <v>4046656</v>
      </c>
      <c r="N28" s="546">
        <f t="shared" si="5"/>
        <v>4046656</v>
      </c>
      <c r="O28" s="539">
        <f t="shared" si="6"/>
        <v>1620524</v>
      </c>
      <c r="P28" s="378">
        <f>VLOOKUP($B28,'Montos Anticipo AIUE 2025 '!$B$13:$L$30,10,FALSE)</f>
        <v>1500000</v>
      </c>
      <c r="Q28" s="379">
        <f>VLOOKUP($B28,'Montos Anticipo AIUE 2025 '!$B$13:$L$30,11,FALSE)</f>
        <v>120524</v>
      </c>
      <c r="R28" s="539">
        <f t="shared" si="7"/>
        <v>2426132</v>
      </c>
      <c r="S28" s="378">
        <v>1900000</v>
      </c>
      <c r="T28" s="380">
        <v>526132</v>
      </c>
      <c r="U28" s="57"/>
      <c r="V28" s="543">
        <f t="shared" si="1"/>
        <v>0</v>
      </c>
      <c r="W28" s="269"/>
      <c r="X28" s="270"/>
      <c r="Y28" s="57"/>
      <c r="Z28" s="583">
        <f t="shared" si="8"/>
        <v>4046656</v>
      </c>
      <c r="AA28" s="586">
        <f t="shared" si="9"/>
        <v>4046656</v>
      </c>
      <c r="AB28" s="587">
        <f t="shared" si="10"/>
        <v>4.0649410397331588E-2</v>
      </c>
      <c r="AC28" s="267" t="str">
        <f t="shared" si="2"/>
        <v>MAG</v>
      </c>
      <c r="AD28" s="200" t="s">
        <v>357</v>
      </c>
      <c r="AE28" s="592">
        <f t="shared" si="11"/>
        <v>0</v>
      </c>
    </row>
    <row r="29" spans="1:31" x14ac:dyDescent="0.25">
      <c r="A29" s="37" t="str">
        <f>'Indicadores (Desempeño)'!A19</f>
        <v>UNIVERSIDAD METROPOLITANA DE CS.DE LA EDUCACIÓN</v>
      </c>
      <c r="B29" s="58" t="str">
        <f>'Indicadores (Desempeño)'!B19</f>
        <v>UMC</v>
      </c>
      <c r="C29" s="59" t="str">
        <f>'Indicadores (Desempeño)'!C19</f>
        <v>CRUCH-ESTATAL</v>
      </c>
      <c r="D29" s="285" t="str">
        <f>'Indicadores (Desempeño)'!D19</f>
        <v>Categoría III</v>
      </c>
      <c r="E29" s="541">
        <v>102885</v>
      </c>
      <c r="F29" s="280">
        <f t="shared" si="0"/>
        <v>106485.97499999999</v>
      </c>
      <c r="G29" s="280"/>
      <c r="H29" s="280">
        <v>0</v>
      </c>
      <c r="I29" s="542">
        <f>VLOOKUP(B29,Complejidad!$B$5:$K$22,10,0)</f>
        <v>425263</v>
      </c>
      <c r="J29" s="543">
        <f t="shared" si="3"/>
        <v>531749</v>
      </c>
      <c r="K29" s="536">
        <f>IFERROR(VLOOKUP(B29,'Indicadores (Desempeño)'!$B$5:$AH$22,32,0),0)</f>
        <v>1297889</v>
      </c>
      <c r="L29" s="544">
        <f>+VLOOKUP(B29,Refuerzo!$B$5:$Q$22,16,0)</f>
        <v>845302</v>
      </c>
      <c r="M29" s="545">
        <f t="shared" si="4"/>
        <v>2674940</v>
      </c>
      <c r="N29" s="546">
        <f t="shared" si="5"/>
        <v>2674940</v>
      </c>
      <c r="O29" s="539">
        <f t="shared" si="6"/>
        <v>1586137</v>
      </c>
      <c r="P29" s="378">
        <f>VLOOKUP($B29,'Montos Anticipo AIUE 2025 '!$B$13:$L$30,10,FALSE)</f>
        <v>1427523</v>
      </c>
      <c r="Q29" s="379">
        <f>VLOOKUP($B29,'Montos Anticipo AIUE 2025 '!$B$13:$L$30,11,FALSE)</f>
        <v>158614</v>
      </c>
      <c r="R29" s="539">
        <f t="shared" si="7"/>
        <v>1088803</v>
      </c>
      <c r="S29" s="378">
        <v>712429</v>
      </c>
      <c r="T29" s="380">
        <v>376374</v>
      </c>
      <c r="U29" s="57"/>
      <c r="V29" s="543">
        <f t="shared" si="1"/>
        <v>0</v>
      </c>
      <c r="W29" s="269"/>
      <c r="X29" s="270"/>
      <c r="Y29" s="57"/>
      <c r="Z29" s="583">
        <f t="shared" si="8"/>
        <v>2674940</v>
      </c>
      <c r="AA29" s="586">
        <f t="shared" si="9"/>
        <v>2674940</v>
      </c>
      <c r="AB29" s="587">
        <f t="shared" si="10"/>
        <v>2.6870268648542934E-2</v>
      </c>
      <c r="AC29" s="267" t="str">
        <f t="shared" si="2"/>
        <v>UMC</v>
      </c>
      <c r="AD29" s="200" t="s">
        <v>347</v>
      </c>
      <c r="AE29" s="592">
        <f t="shared" si="11"/>
        <v>0</v>
      </c>
    </row>
    <row r="30" spans="1:31" x14ac:dyDescent="0.25">
      <c r="A30" s="37" t="str">
        <f>'Indicadores (Desempeño)'!A20</f>
        <v>UNIVERSIDAD TECNOLÓGICA METROPOLITANA</v>
      </c>
      <c r="B30" s="58" t="str">
        <f>'Indicadores (Desempeño)'!B20</f>
        <v>UTM</v>
      </c>
      <c r="C30" s="59" t="str">
        <f>'Indicadores (Desempeño)'!C20</f>
        <v>CRUCH-ESTATAL</v>
      </c>
      <c r="D30" s="285" t="str">
        <f>'Indicadores (Desempeño)'!D20</f>
        <v>Categoría II</v>
      </c>
      <c r="E30" s="541">
        <v>52483</v>
      </c>
      <c r="F30" s="280">
        <f t="shared" si="0"/>
        <v>54319.904999999999</v>
      </c>
      <c r="G30" s="280"/>
      <c r="H30" s="280">
        <v>0</v>
      </c>
      <c r="I30" s="542">
        <f>VLOOKUP(B30,Complejidad!$B$5:$K$22,10,0)</f>
        <v>664559</v>
      </c>
      <c r="J30" s="543">
        <f t="shared" si="3"/>
        <v>718879</v>
      </c>
      <c r="K30" s="536">
        <f>IFERROR(VLOOKUP(B30,'Indicadores (Desempeño)'!$B$5:$AH$22,32,0),0)</f>
        <v>2667188</v>
      </c>
      <c r="L30" s="544">
        <f>+VLOOKUP(B30,Refuerzo!$B$5:$Q$22,16,0)</f>
        <v>714341</v>
      </c>
      <c r="M30" s="545">
        <f t="shared" si="4"/>
        <v>4100408</v>
      </c>
      <c r="N30" s="546">
        <f t="shared" si="5"/>
        <v>4100408</v>
      </c>
      <c r="O30" s="539">
        <f t="shared" si="6"/>
        <v>1682707</v>
      </c>
      <c r="P30" s="378">
        <f>VLOOKUP($B30,'Montos Anticipo AIUE 2025 '!$B$13:$L$30,10,FALSE)</f>
        <v>1177895</v>
      </c>
      <c r="Q30" s="379">
        <f>VLOOKUP($B30,'Montos Anticipo AIUE 2025 '!$B$13:$L$30,11,FALSE)</f>
        <v>504812</v>
      </c>
      <c r="R30" s="539">
        <f t="shared" si="7"/>
        <v>2417701</v>
      </c>
      <c r="S30" s="378">
        <v>1691599</v>
      </c>
      <c r="T30" s="380">
        <v>726102</v>
      </c>
      <c r="U30" s="57"/>
      <c r="V30" s="543">
        <f t="shared" si="1"/>
        <v>0</v>
      </c>
      <c r="W30" s="269"/>
      <c r="X30" s="270"/>
      <c r="Y30" s="57"/>
      <c r="Z30" s="583">
        <f t="shared" si="8"/>
        <v>4100408</v>
      </c>
      <c r="AA30" s="586">
        <f t="shared" si="9"/>
        <v>4100408</v>
      </c>
      <c r="AB30" s="587">
        <f t="shared" si="10"/>
        <v>4.1189359211284977E-2</v>
      </c>
      <c r="AC30" s="267" t="str">
        <f t="shared" si="2"/>
        <v>UTM</v>
      </c>
      <c r="AD30" s="200" t="s">
        <v>347</v>
      </c>
      <c r="AE30" s="592">
        <f t="shared" si="11"/>
        <v>0</v>
      </c>
    </row>
    <row r="31" spans="1:31" x14ac:dyDescent="0.25">
      <c r="A31" s="37" t="s">
        <v>88</v>
      </c>
      <c r="B31" s="58" t="s">
        <v>89</v>
      </c>
      <c r="C31" s="59" t="s">
        <v>22</v>
      </c>
      <c r="D31" s="285" t="s">
        <v>92</v>
      </c>
      <c r="E31" s="541">
        <v>0</v>
      </c>
      <c r="F31" s="280">
        <f t="shared" si="0"/>
        <v>0</v>
      </c>
      <c r="G31" s="280"/>
      <c r="H31" s="280">
        <v>50000</v>
      </c>
      <c r="I31" s="542">
        <f>VLOOKUP(B31,Complejidad!$B$5:$K$22,10,0)</f>
        <v>625484</v>
      </c>
      <c r="J31" s="543">
        <f t="shared" si="3"/>
        <v>675484</v>
      </c>
      <c r="K31" s="536">
        <f>IFERROR(VLOOKUP(B31,'Indicadores (Desempeño)'!$B$5:$AH$22,32,0),0)</f>
        <v>1415639</v>
      </c>
      <c r="L31" s="544">
        <f>+VLOOKUP(B31,Refuerzo!$B$5:$Q$22,16,0)</f>
        <v>782757</v>
      </c>
      <c r="M31" s="545">
        <f t="shared" si="4"/>
        <v>2873880</v>
      </c>
      <c r="N31" s="546">
        <f t="shared" si="5"/>
        <v>2873880</v>
      </c>
      <c r="O31" s="539">
        <f t="shared" si="6"/>
        <v>1119389</v>
      </c>
      <c r="P31" s="378">
        <f>VLOOKUP($B31,'Montos Anticipo AIUE 2025 '!$B$13:$L$30,10,FALSE)</f>
        <v>1119389</v>
      </c>
      <c r="Q31" s="379">
        <f>VLOOKUP($B31,'Montos Anticipo AIUE 2025 '!$B$13:$L$30,11,FALSE)</f>
        <v>0</v>
      </c>
      <c r="R31" s="539">
        <f t="shared" si="7"/>
        <v>1754491</v>
      </c>
      <c r="S31" s="378">
        <v>891772</v>
      </c>
      <c r="T31" s="380">
        <v>862719</v>
      </c>
      <c r="U31" s="57"/>
      <c r="V31" s="543">
        <f t="shared" si="1"/>
        <v>0</v>
      </c>
      <c r="W31" s="269"/>
      <c r="X31" s="270"/>
      <c r="Y31" s="57"/>
      <c r="Z31" s="583">
        <f t="shared" si="8"/>
        <v>2873880</v>
      </c>
      <c r="AA31" s="586">
        <f t="shared" si="9"/>
        <v>2873880</v>
      </c>
      <c r="AB31" s="587">
        <f t="shared" si="10"/>
        <v>2.8868657862858447E-2</v>
      </c>
      <c r="AC31" s="267" t="str">
        <f t="shared" si="2"/>
        <v>URO</v>
      </c>
      <c r="AD31" s="200" t="s">
        <v>358</v>
      </c>
      <c r="AE31" s="592">
        <f t="shared" si="11"/>
        <v>0</v>
      </c>
    </row>
    <row r="32" spans="1:31" ht="15.75" thickBot="1" x14ac:dyDescent="0.3">
      <c r="A32" s="62" t="s">
        <v>90</v>
      </c>
      <c r="B32" s="63" t="s">
        <v>91</v>
      </c>
      <c r="C32" s="64" t="s">
        <v>22</v>
      </c>
      <c r="D32" s="333" t="s">
        <v>92</v>
      </c>
      <c r="E32" s="547">
        <v>0</v>
      </c>
      <c r="F32" s="548">
        <f t="shared" si="0"/>
        <v>0</v>
      </c>
      <c r="G32" s="548"/>
      <c r="H32" s="548">
        <v>0</v>
      </c>
      <c r="I32" s="549">
        <f>VLOOKUP(B32,Complejidad!$B$5:$K$22,10,0)</f>
        <v>123543</v>
      </c>
      <c r="J32" s="550">
        <f t="shared" si="3"/>
        <v>123543</v>
      </c>
      <c r="K32" s="551">
        <f>IFERROR(VLOOKUP(B32,'Indicadores (Desempeño)'!$B$5:$AH$22,32,0),0)</f>
        <v>1455879</v>
      </c>
      <c r="L32" s="552">
        <f>+VLOOKUP(B32,Refuerzo!$B$5:$Q$22,16,0)</f>
        <v>545570</v>
      </c>
      <c r="M32" s="553">
        <f t="shared" si="4"/>
        <v>2124992</v>
      </c>
      <c r="N32" s="554">
        <f t="shared" si="5"/>
        <v>2124992</v>
      </c>
      <c r="O32" s="539">
        <f t="shared" si="6"/>
        <v>2032211</v>
      </c>
      <c r="P32" s="378">
        <f>VLOOKUP($B32,'Montos Anticipo AIUE 2025 '!$B$13:$L$30,10,FALSE)</f>
        <v>1265527</v>
      </c>
      <c r="Q32" s="379">
        <f>VLOOKUP($B32,'Montos Anticipo AIUE 2025 '!$B$13:$L$30,11,FALSE)</f>
        <v>766684</v>
      </c>
      <c r="R32" s="555">
        <f t="shared" si="7"/>
        <v>92781</v>
      </c>
      <c r="S32" s="378">
        <v>0</v>
      </c>
      <c r="T32" s="380">
        <v>92781</v>
      </c>
      <c r="U32" s="57"/>
      <c r="V32" s="543">
        <f>+W32+X32</f>
        <v>3679873</v>
      </c>
      <c r="W32" s="269">
        <v>580000</v>
      </c>
      <c r="X32" s="270">
        <v>3099873</v>
      </c>
      <c r="Y32" s="57"/>
      <c r="Z32" s="583">
        <f t="shared" si="8"/>
        <v>5804865</v>
      </c>
      <c r="AA32" s="588">
        <f t="shared" si="9"/>
        <v>5804865</v>
      </c>
      <c r="AB32" s="589">
        <f t="shared" si="10"/>
        <v>5.8310946046836259E-2</v>
      </c>
      <c r="AC32" s="267" t="str">
        <f t="shared" si="2"/>
        <v>URY</v>
      </c>
      <c r="AD32" s="200" t="s">
        <v>359</v>
      </c>
      <c r="AE32" s="592">
        <f t="shared" si="11"/>
        <v>0</v>
      </c>
    </row>
    <row r="33" spans="1:31" ht="15.75" thickBot="1" x14ac:dyDescent="0.3">
      <c r="A33" s="65" t="s">
        <v>139</v>
      </c>
      <c r="B33" s="66"/>
      <c r="C33" s="67"/>
      <c r="D33" s="67"/>
      <c r="E33" s="556">
        <f>SUM(E15:E32)</f>
        <v>4471499</v>
      </c>
      <c r="F33" s="557">
        <f t="shared" ref="F33:AB33" si="12">SUM(F15:F32)</f>
        <v>4628001.464999998</v>
      </c>
      <c r="G33" s="558">
        <f t="shared" si="12"/>
        <v>0</v>
      </c>
      <c r="H33" s="558">
        <f t="shared" si="12"/>
        <v>700000</v>
      </c>
      <c r="I33" s="559">
        <f t="shared" si="12"/>
        <v>23601300</v>
      </c>
      <c r="J33" s="560">
        <f>SUM(J15:J32)</f>
        <v>28929300</v>
      </c>
      <c r="K33" s="561">
        <f t="shared" si="12"/>
        <v>51422696</v>
      </c>
      <c r="L33" s="562">
        <f>SUM(L15:L32)</f>
        <v>15518308</v>
      </c>
      <c r="M33" s="563">
        <f t="shared" si="12"/>
        <v>95870304</v>
      </c>
      <c r="N33" s="564">
        <f t="shared" ref="N33:T33" si="13">SUM(N15:N32)</f>
        <v>95870304</v>
      </c>
      <c r="O33" s="565">
        <f t="shared" si="13"/>
        <v>43141638</v>
      </c>
      <c r="P33" s="330">
        <f t="shared" si="13"/>
        <v>29361360</v>
      </c>
      <c r="Q33" s="331">
        <f t="shared" si="13"/>
        <v>13780278</v>
      </c>
      <c r="R33" s="566">
        <f>SUM(R15:R32)</f>
        <v>52728666</v>
      </c>
      <c r="S33" s="332">
        <f t="shared" si="13"/>
        <v>37729354</v>
      </c>
      <c r="T33" s="331">
        <f t="shared" si="13"/>
        <v>14999312</v>
      </c>
      <c r="U33" s="57"/>
      <c r="V33" s="562">
        <f>SUM(V15:V32)</f>
        <v>3679873</v>
      </c>
      <c r="W33" s="273">
        <f>SUM(W15:W32)</f>
        <v>580000</v>
      </c>
      <c r="X33" s="274">
        <f>SUM(X16:X32)</f>
        <v>3099873</v>
      </c>
      <c r="Y33" s="57"/>
      <c r="Z33" s="590">
        <f>SUM(Z15:Z32)</f>
        <v>99550177</v>
      </c>
      <c r="AA33" s="557">
        <f t="shared" si="12"/>
        <v>99550177</v>
      </c>
      <c r="AB33" s="591">
        <f t="shared" si="12"/>
        <v>1</v>
      </c>
      <c r="AC33" s="61"/>
      <c r="AE33" s="593"/>
    </row>
    <row r="34" spans="1:31" s="151" customFormat="1" ht="15.75" thickBot="1" x14ac:dyDescent="0.3">
      <c r="E34" s="595"/>
      <c r="F34" s="595"/>
      <c r="G34" s="595"/>
      <c r="H34" s="595"/>
      <c r="I34" s="596">
        <f>+B42-I33</f>
        <v>0</v>
      </c>
      <c r="J34" s="596">
        <f>+B46-J33</f>
        <v>1.4649999961256981</v>
      </c>
      <c r="K34" s="597">
        <f>+B48-K33</f>
        <v>4</v>
      </c>
      <c r="L34" s="597">
        <f>+B49-L33</f>
        <v>11</v>
      </c>
      <c r="M34" s="595"/>
      <c r="N34" s="597">
        <f>+B51-N33</f>
        <v>16</v>
      </c>
      <c r="R34" s="246"/>
      <c r="S34" s="246"/>
      <c r="T34" s="246"/>
      <c r="U34" s="57"/>
      <c r="Z34" s="594">
        <f>+D38-Z33</f>
        <v>16</v>
      </c>
      <c r="AA34" s="594">
        <f>+D38-AA33</f>
        <v>16</v>
      </c>
    </row>
    <row r="35" spans="1:31" ht="15.75" thickBot="1" x14ac:dyDescent="0.3">
      <c r="E35" s="310" t="s">
        <v>175</v>
      </c>
      <c r="F35" s="311"/>
      <c r="G35" s="311"/>
      <c r="H35" s="311"/>
      <c r="I35" s="311"/>
      <c r="J35" s="311"/>
      <c r="K35" s="312"/>
      <c r="L35" s="389" t="s">
        <v>213</v>
      </c>
      <c r="R35" s="175"/>
      <c r="S35" s="175"/>
      <c r="T35" s="175"/>
    </row>
    <row r="36" spans="1:31" ht="15.75" thickBot="1" x14ac:dyDescent="0.3">
      <c r="E36" s="158" t="s">
        <v>143</v>
      </c>
      <c r="F36" s="159" t="s">
        <v>144</v>
      </c>
      <c r="G36" s="159" t="s">
        <v>145</v>
      </c>
      <c r="H36" s="159" t="s">
        <v>146</v>
      </c>
      <c r="I36" s="160" t="s">
        <v>142</v>
      </c>
      <c r="J36" s="160" t="s">
        <v>176</v>
      </c>
      <c r="K36" s="161" t="s">
        <v>277</v>
      </c>
      <c r="L36" s="390"/>
      <c r="Z36" s="77"/>
    </row>
    <row r="37" spans="1:31" ht="38.25" x14ac:dyDescent="0.25">
      <c r="A37" s="337" t="s">
        <v>97</v>
      </c>
      <c r="B37" s="338" t="s">
        <v>137</v>
      </c>
      <c r="C37" s="338" t="s">
        <v>138</v>
      </c>
      <c r="D37" s="339" t="s">
        <v>374</v>
      </c>
      <c r="E37" s="336" t="s">
        <v>128</v>
      </c>
      <c r="F37" s="80" t="s">
        <v>95</v>
      </c>
      <c r="G37" s="80" t="s">
        <v>96</v>
      </c>
      <c r="H37" s="80" t="s">
        <v>98</v>
      </c>
      <c r="I37" s="80" t="s">
        <v>77</v>
      </c>
      <c r="J37" s="80" t="s">
        <v>78</v>
      </c>
      <c r="K37" s="245" t="s">
        <v>280</v>
      </c>
      <c r="L37" s="156" t="s">
        <v>76</v>
      </c>
    </row>
    <row r="38" spans="1:31" s="83" customFormat="1" ht="12.75" thickBot="1" x14ac:dyDescent="0.25">
      <c r="A38" s="340" t="s">
        <v>172</v>
      </c>
      <c r="B38" s="341">
        <v>67670714</v>
      </c>
      <c r="C38" s="486">
        <f>33557346-1677867</f>
        <v>31879479</v>
      </c>
      <c r="D38" s="87">
        <f>B38+C38</f>
        <v>99550193</v>
      </c>
      <c r="E38" s="335">
        <f>F33</f>
        <v>4628001.464999998</v>
      </c>
      <c r="F38" s="86">
        <f>G33</f>
        <v>0</v>
      </c>
      <c r="G38" s="86">
        <f>H33</f>
        <v>700000</v>
      </c>
      <c r="H38" s="86">
        <f>+B42</f>
        <v>23601300</v>
      </c>
      <c r="I38" s="86">
        <f>+B46</f>
        <v>28929301.464999996</v>
      </c>
      <c r="J38" s="86">
        <f>+B48</f>
        <v>51422700</v>
      </c>
      <c r="K38" s="87">
        <f xml:space="preserve"> ROUND((D38-I38-L38-J38),0)</f>
        <v>15518319</v>
      </c>
      <c r="L38" s="157">
        <v>3679873</v>
      </c>
    </row>
    <row r="39" spans="1:31" ht="15" customHeight="1" thickBot="1" x14ac:dyDescent="0.3">
      <c r="H39" s="487"/>
      <c r="I39" s="487"/>
      <c r="J39" s="487"/>
      <c r="K39" s="487"/>
    </row>
    <row r="40" spans="1:31" x14ac:dyDescent="0.25">
      <c r="A40" s="192"/>
      <c r="B40" s="192" t="s">
        <v>73</v>
      </c>
      <c r="C40" s="354" t="s">
        <v>417</v>
      </c>
    </row>
    <row r="41" spans="1:31" ht="15.75" thickBot="1" x14ac:dyDescent="0.3">
      <c r="A41" s="490" t="s">
        <v>418</v>
      </c>
      <c r="B41" s="491">
        <v>22650000</v>
      </c>
      <c r="C41" s="334">
        <v>4.2000000000000003E-2</v>
      </c>
    </row>
    <row r="42" spans="1:31" x14ac:dyDescent="0.25">
      <c r="A42" s="498" t="s">
        <v>419</v>
      </c>
      <c r="B42" s="496">
        <f>(B41*(1+C41))</f>
        <v>23601300</v>
      </c>
    </row>
    <row r="43" spans="1:31" s="83" customFormat="1" ht="12" x14ac:dyDescent="0.2">
      <c r="A43" s="490" t="s">
        <v>271</v>
      </c>
      <c r="B43" s="493">
        <v>3.5000000000000003E-2</v>
      </c>
      <c r="D43" s="265"/>
    </row>
    <row r="44" spans="1:31" s="83" customFormat="1" ht="12" x14ac:dyDescent="0.2">
      <c r="A44" s="490" t="s">
        <v>272</v>
      </c>
      <c r="B44" s="492">
        <f>+E38</f>
        <v>4628001.464999998</v>
      </c>
      <c r="D44" s="265"/>
    </row>
    <row r="45" spans="1:31" s="83" customFormat="1" ht="12" x14ac:dyDescent="0.2">
      <c r="A45" s="490" t="s">
        <v>273</v>
      </c>
      <c r="B45" s="492">
        <v>700000</v>
      </c>
      <c r="D45" s="265"/>
      <c r="E45" s="265"/>
    </row>
    <row r="46" spans="1:31" x14ac:dyDescent="0.25">
      <c r="A46" s="498" t="s">
        <v>274</v>
      </c>
      <c r="B46" s="496">
        <f>+B42+B44+B45</f>
        <v>28929301.464999996</v>
      </c>
      <c r="C46" s="192"/>
      <c r="D46" s="192"/>
      <c r="E46" s="192"/>
    </row>
    <row r="47" spans="1:31" x14ac:dyDescent="0.25">
      <c r="A47" s="490" t="s">
        <v>420</v>
      </c>
      <c r="B47" s="492">
        <v>49350000</v>
      </c>
      <c r="C47" s="258"/>
      <c r="D47" s="192"/>
      <c r="E47" s="192"/>
    </row>
    <row r="48" spans="1:31" x14ac:dyDescent="0.25">
      <c r="A48" s="498" t="s">
        <v>421</v>
      </c>
      <c r="B48" s="496">
        <f>(B47*(1+C41))</f>
        <v>51422700</v>
      </c>
      <c r="C48" s="192"/>
      <c r="D48" s="192"/>
      <c r="E48" s="192"/>
    </row>
    <row r="49" spans="1:3" x14ac:dyDescent="0.25">
      <c r="A49" s="490" t="s">
        <v>423</v>
      </c>
      <c r="B49" s="494">
        <f>ROUND((D38-B46-B48-B50),0)</f>
        <v>15518319</v>
      </c>
      <c r="C49" s="151"/>
    </row>
    <row r="50" spans="1:3" x14ac:dyDescent="0.25">
      <c r="A50" s="495" t="s">
        <v>432</v>
      </c>
      <c r="B50" s="496">
        <v>3679873</v>
      </c>
      <c r="C50" s="151"/>
    </row>
    <row r="51" spans="1:3" x14ac:dyDescent="0.25">
      <c r="A51" s="495" t="s">
        <v>431</v>
      </c>
      <c r="B51" s="497">
        <f>+D38-B50</f>
        <v>95870320</v>
      </c>
      <c r="C51" s="151"/>
    </row>
    <row r="53" spans="1:3" ht="24" x14ac:dyDescent="0.25">
      <c r="A53" s="488" t="s">
        <v>364</v>
      </c>
      <c r="B53" s="489" t="s">
        <v>137</v>
      </c>
      <c r="C53" s="489" t="s">
        <v>138</v>
      </c>
    </row>
    <row r="54" spans="1:3" x14ac:dyDescent="0.25">
      <c r="A54" s="122" t="s">
        <v>360</v>
      </c>
      <c r="B54" s="275">
        <f>+P33</f>
        <v>29361360</v>
      </c>
      <c r="C54" s="276">
        <f>+Q33</f>
        <v>13780278</v>
      </c>
    </row>
    <row r="55" spans="1:3" x14ac:dyDescent="0.25">
      <c r="A55" s="46" t="s">
        <v>361</v>
      </c>
      <c r="B55" s="275">
        <f>+W33</f>
        <v>580000</v>
      </c>
      <c r="C55" s="276">
        <f>+X33</f>
        <v>3099873</v>
      </c>
    </row>
    <row r="56" spans="1:3" x14ac:dyDescent="0.25">
      <c r="A56" s="46" t="s">
        <v>362</v>
      </c>
      <c r="B56" s="275">
        <f>+S33</f>
        <v>37729354</v>
      </c>
      <c r="C56" s="276">
        <f>+T33</f>
        <v>14999312</v>
      </c>
    </row>
    <row r="57" spans="1:3" x14ac:dyDescent="0.25">
      <c r="A57" s="46" t="s">
        <v>363</v>
      </c>
      <c r="B57" s="54">
        <f>+B38-B56-B55-B54</f>
        <v>0</v>
      </c>
      <c r="C57" s="54">
        <f>+C38-C56-C55-C54</f>
        <v>16</v>
      </c>
    </row>
  </sheetData>
  <mergeCells count="26">
    <mergeCell ref="A11:A14"/>
    <mergeCell ref="B11:B14"/>
    <mergeCell ref="C11:C14"/>
    <mergeCell ref="D11:D14"/>
    <mergeCell ref="E13:F13"/>
    <mergeCell ref="E12:J12"/>
    <mergeCell ref="L35:L36"/>
    <mergeCell ref="V12:X13"/>
    <mergeCell ref="Z12:Z14"/>
    <mergeCell ref="AA12:AA14"/>
    <mergeCell ref="I13:I14"/>
    <mergeCell ref="AB12:AB14"/>
    <mergeCell ref="AC12:AC14"/>
    <mergeCell ref="AD12:AD14"/>
    <mergeCell ref="E11:T11"/>
    <mergeCell ref="K12:K14"/>
    <mergeCell ref="L12:L14"/>
    <mergeCell ref="M12:M14"/>
    <mergeCell ref="N12:N14"/>
    <mergeCell ref="O12:Q13"/>
    <mergeCell ref="R12:T13"/>
    <mergeCell ref="J13:J14"/>
    <mergeCell ref="H13:H14"/>
    <mergeCell ref="G13:G14"/>
    <mergeCell ref="Z11:AB11"/>
    <mergeCell ref="V11:X11"/>
  </mergeCells>
  <phoneticPr fontId="37" type="noConversion"/>
  <pageMargins left="0.31496062992125984" right="0.31496062992125984" top="0.35433070866141736" bottom="0.35433070866141736" header="0.31496062992125984" footer="0.31496062992125984"/>
  <pageSetup paperSize="14" scale="69" orientation="landscape" verticalDpi="0" r:id="rId1"/>
  <rowBreaks count="1" manualBreakCount="1">
    <brk id="38" max="34" man="1"/>
  </rowBreaks>
  <colBreaks count="1" manualBreakCount="1">
    <brk id="14" max="3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4216-C701-4187-8841-D41C206EA5CE}">
  <sheetPr>
    <tabColor theme="8" tint="0.59999389629810485"/>
    <pageSetUpPr fitToPage="1"/>
  </sheetPr>
  <dimension ref="A1:N107"/>
  <sheetViews>
    <sheetView topLeftCell="A7" zoomScale="80" zoomScaleNormal="80" workbookViewId="0">
      <selection activeCell="N13" sqref="N13"/>
    </sheetView>
  </sheetViews>
  <sheetFormatPr baseColWidth="10" defaultColWidth="11.42578125" defaultRowHeight="15" x14ac:dyDescent="0.25"/>
  <cols>
    <col min="1" max="1" width="44.7109375" style="192" customWidth="1"/>
    <col min="2" max="2" width="17.140625" style="192" customWidth="1"/>
    <col min="3" max="3" width="11.42578125" style="192" customWidth="1"/>
    <col min="4" max="4" width="12.5703125" style="192" customWidth="1"/>
    <col min="5" max="5" width="15.85546875" style="192" customWidth="1"/>
    <col min="6" max="6" width="13.85546875" style="192" customWidth="1"/>
    <col min="7" max="7" width="16.5703125" style="192" customWidth="1"/>
    <col min="8" max="8" width="11.42578125" style="192" customWidth="1"/>
    <col min="9" max="9" width="15.140625" style="192" customWidth="1"/>
    <col min="10" max="10" width="15.28515625" style="192" customWidth="1"/>
    <col min="11" max="11" width="12.7109375" style="192" customWidth="1"/>
    <col min="12" max="12" width="13.140625" style="192" customWidth="1"/>
    <col min="13" max="13" width="6.42578125" style="192" customWidth="1"/>
    <col min="14" max="16384" width="11.42578125" style="192"/>
  </cols>
  <sheetData>
    <row r="1" spans="1:14" ht="98.25" customHeight="1" x14ac:dyDescent="0.25"/>
    <row r="2" spans="1:14" ht="18.75" x14ac:dyDescent="0.3">
      <c r="A2" s="230" t="s">
        <v>433</v>
      </c>
    </row>
    <row r="3" spans="1:14" ht="18.75" x14ac:dyDescent="0.3">
      <c r="A3" s="230" t="s">
        <v>307</v>
      </c>
    </row>
    <row r="4" spans="1:14" ht="18.75" x14ac:dyDescent="0.3">
      <c r="A4" s="343">
        <v>0.45</v>
      </c>
    </row>
    <row r="5" spans="1:14" ht="18.75" x14ac:dyDescent="0.3">
      <c r="A5" s="230" t="s">
        <v>306</v>
      </c>
    </row>
    <row r="6" spans="1:14" x14ac:dyDescent="0.25">
      <c r="A6" s="192" t="s">
        <v>434</v>
      </c>
    </row>
    <row r="7" spans="1:14" x14ac:dyDescent="0.25">
      <c r="A7" s="345" t="s">
        <v>437</v>
      </c>
    </row>
    <row r="8" spans="1:14" ht="15.75" thickBot="1" x14ac:dyDescent="0.3">
      <c r="A8" s="229"/>
    </row>
    <row r="9" spans="1:14" s="227" customFormat="1" ht="42.75" customHeight="1" thickBot="1" x14ac:dyDescent="0.3">
      <c r="C9" s="426" t="s">
        <v>305</v>
      </c>
      <c r="D9" s="427"/>
      <c r="E9" s="427"/>
      <c r="F9" s="228" t="s">
        <v>304</v>
      </c>
      <c r="G9" s="428" t="s">
        <v>435</v>
      </c>
      <c r="H9" s="429"/>
      <c r="I9" s="430" t="s">
        <v>372</v>
      </c>
      <c r="J9" s="430"/>
      <c r="K9" s="431"/>
      <c r="L9" s="431"/>
      <c r="M9" s="432"/>
    </row>
    <row r="10" spans="1:14" s="226" customFormat="1" ht="15.75" customHeight="1" thickBot="1" x14ac:dyDescent="0.3">
      <c r="A10" s="415" t="s">
        <v>11</v>
      </c>
      <c r="B10" s="417" t="s">
        <v>173</v>
      </c>
      <c r="C10" s="416" t="s">
        <v>303</v>
      </c>
      <c r="D10" s="434" t="s">
        <v>436</v>
      </c>
      <c r="E10" s="434" t="s">
        <v>365</v>
      </c>
      <c r="F10" s="434" t="s">
        <v>302</v>
      </c>
      <c r="G10" s="416" t="s">
        <v>301</v>
      </c>
      <c r="H10" s="405" t="s">
        <v>87</v>
      </c>
      <c r="I10" s="407" t="s">
        <v>369</v>
      </c>
      <c r="J10" s="410" t="s">
        <v>371</v>
      </c>
      <c r="K10" s="413" t="s">
        <v>300</v>
      </c>
      <c r="L10" s="414"/>
      <c r="M10" s="419" t="s">
        <v>1</v>
      </c>
    </row>
    <row r="11" spans="1:14" ht="20.25" customHeight="1" x14ac:dyDescent="0.25">
      <c r="A11" s="416"/>
      <c r="B11" s="418"/>
      <c r="C11" s="416"/>
      <c r="D11" s="434"/>
      <c r="E11" s="434"/>
      <c r="F11" s="434"/>
      <c r="G11" s="416"/>
      <c r="H11" s="405"/>
      <c r="I11" s="408"/>
      <c r="J11" s="411"/>
      <c r="K11" s="422" t="s">
        <v>299</v>
      </c>
      <c r="L11" s="424" t="s">
        <v>298</v>
      </c>
      <c r="M11" s="420"/>
    </row>
    <row r="12" spans="1:14" ht="84.75" customHeight="1" thickBot="1" x14ac:dyDescent="0.3">
      <c r="A12" s="416"/>
      <c r="B12" s="418"/>
      <c r="C12" s="433"/>
      <c r="D12" s="225" t="s">
        <v>366</v>
      </c>
      <c r="E12" s="225" t="s">
        <v>367</v>
      </c>
      <c r="F12" s="225" t="s">
        <v>368</v>
      </c>
      <c r="G12" s="433"/>
      <c r="H12" s="406"/>
      <c r="I12" s="409"/>
      <c r="J12" s="412"/>
      <c r="K12" s="423"/>
      <c r="L12" s="425"/>
      <c r="M12" s="421"/>
    </row>
    <row r="13" spans="1:14" x14ac:dyDescent="0.25">
      <c r="A13" s="224" t="s">
        <v>12</v>
      </c>
      <c r="B13" s="223" t="s">
        <v>2</v>
      </c>
      <c r="C13" s="216">
        <v>13152780</v>
      </c>
      <c r="D13" s="346">
        <v>4929496</v>
      </c>
      <c r="E13" s="346">
        <v>8223284</v>
      </c>
      <c r="F13" s="216">
        <v>0</v>
      </c>
      <c r="G13" s="216">
        <v>13152780</v>
      </c>
      <c r="H13" s="347">
        <f>+G13/$G$31</f>
        <v>0.14509488087586042</v>
      </c>
      <c r="I13" s="215">
        <f>+H13*$B$42</f>
        <v>6259631.696968778</v>
      </c>
      <c r="J13" s="348">
        <f>TRUNC(I13,0)</f>
        <v>6259631</v>
      </c>
      <c r="K13" s="214">
        <v>1877889</v>
      </c>
      <c r="L13" s="214">
        <v>4381742</v>
      </c>
      <c r="M13" s="222" t="s">
        <v>2</v>
      </c>
      <c r="N13" s="377">
        <f>+L13+K13-J13</f>
        <v>0</v>
      </c>
    </row>
    <row r="14" spans="1:14" x14ac:dyDescent="0.25">
      <c r="A14" s="221" t="s">
        <v>13</v>
      </c>
      <c r="B14" s="220" t="s">
        <v>3</v>
      </c>
      <c r="C14" s="216">
        <v>7476975</v>
      </c>
      <c r="D14" s="346">
        <v>2876782</v>
      </c>
      <c r="E14" s="346">
        <v>4600193</v>
      </c>
      <c r="F14" s="216">
        <v>0</v>
      </c>
      <c r="G14" s="216">
        <v>7476975</v>
      </c>
      <c r="H14" s="347">
        <f t="shared" ref="H14:H30" si="0">+G14/$G$31</f>
        <v>8.2482243064719893E-2</v>
      </c>
      <c r="I14" s="215">
        <f t="shared" ref="I14:I30" si="1">+H14*$B$42</f>
        <v>3558419.5666196146</v>
      </c>
      <c r="J14" s="348">
        <f t="shared" ref="J14:J30" si="2">TRUNC(I14,0)</f>
        <v>3558419</v>
      </c>
      <c r="K14" s="214">
        <v>2490893</v>
      </c>
      <c r="L14" s="214">
        <v>1067526</v>
      </c>
      <c r="M14" s="219" t="s">
        <v>3</v>
      </c>
      <c r="N14" s="377">
        <f t="shared" ref="N14:N31" si="3">+L14+K14-J14</f>
        <v>0</v>
      </c>
    </row>
    <row r="15" spans="1:14" x14ac:dyDescent="0.25">
      <c r="A15" s="221" t="s">
        <v>19</v>
      </c>
      <c r="B15" s="220" t="s">
        <v>9</v>
      </c>
      <c r="C15" s="216">
        <v>4647840</v>
      </c>
      <c r="D15" s="346">
        <v>1784649</v>
      </c>
      <c r="E15" s="346">
        <v>2863191</v>
      </c>
      <c r="F15" s="216">
        <v>0</v>
      </c>
      <c r="G15" s="216">
        <v>4647840</v>
      </c>
      <c r="H15" s="347">
        <f t="shared" si="0"/>
        <v>5.1272642827604444E-2</v>
      </c>
      <c r="I15" s="215">
        <f t="shared" si="1"/>
        <v>2211986.1038076645</v>
      </c>
      <c r="J15" s="348">
        <f t="shared" si="2"/>
        <v>2211986</v>
      </c>
      <c r="K15" s="214">
        <v>1105993</v>
      </c>
      <c r="L15" s="214">
        <v>1105993</v>
      </c>
      <c r="M15" s="219" t="s">
        <v>9</v>
      </c>
      <c r="N15" s="377">
        <f t="shared" si="3"/>
        <v>0</v>
      </c>
    </row>
    <row r="16" spans="1:14" x14ac:dyDescent="0.25">
      <c r="A16" s="221" t="s">
        <v>16</v>
      </c>
      <c r="B16" s="220" t="s">
        <v>6</v>
      </c>
      <c r="C16" s="216">
        <v>5672895</v>
      </c>
      <c r="D16" s="346">
        <v>2081152</v>
      </c>
      <c r="E16" s="346">
        <v>3591743</v>
      </c>
      <c r="F16" s="216">
        <v>0</v>
      </c>
      <c r="G16" s="216">
        <v>5672895</v>
      </c>
      <c r="H16" s="347">
        <f t="shared" si="0"/>
        <v>6.2580536148727814E-2</v>
      </c>
      <c r="I16" s="215">
        <f t="shared" si="1"/>
        <v>2699827.2118575466</v>
      </c>
      <c r="J16" s="348">
        <f t="shared" si="2"/>
        <v>2699827</v>
      </c>
      <c r="K16" s="214">
        <v>2699827</v>
      </c>
      <c r="L16" s="214">
        <v>0</v>
      </c>
      <c r="M16" s="219" t="s">
        <v>6</v>
      </c>
      <c r="N16" s="377">
        <f t="shared" si="3"/>
        <v>0</v>
      </c>
    </row>
    <row r="17" spans="1:14" x14ac:dyDescent="0.25">
      <c r="A17" s="221" t="s">
        <v>15</v>
      </c>
      <c r="B17" s="220" t="s">
        <v>5</v>
      </c>
      <c r="C17" s="216">
        <v>6919728</v>
      </c>
      <c r="D17" s="346">
        <v>2530627</v>
      </c>
      <c r="E17" s="346">
        <v>4389101</v>
      </c>
      <c r="F17" s="216">
        <v>0</v>
      </c>
      <c r="G17" s="216">
        <v>6919728</v>
      </c>
      <c r="H17" s="347">
        <f t="shared" si="0"/>
        <v>7.6334973279668331E-2</v>
      </c>
      <c r="I17" s="215">
        <f t="shared" si="1"/>
        <v>3293216.2419809634</v>
      </c>
      <c r="J17" s="348">
        <f t="shared" si="2"/>
        <v>3293216</v>
      </c>
      <c r="K17" s="214">
        <v>2300200</v>
      </c>
      <c r="L17" s="214">
        <v>993016</v>
      </c>
      <c r="M17" s="219" t="s">
        <v>5</v>
      </c>
      <c r="N17" s="377">
        <f t="shared" si="3"/>
        <v>0</v>
      </c>
    </row>
    <row r="18" spans="1:14" x14ac:dyDescent="0.25">
      <c r="A18" s="221" t="s">
        <v>20</v>
      </c>
      <c r="B18" s="220" t="s">
        <v>10</v>
      </c>
      <c r="C18" s="216">
        <v>5503122</v>
      </c>
      <c r="D18" s="346">
        <v>1811669</v>
      </c>
      <c r="E18" s="346">
        <v>3691453</v>
      </c>
      <c r="F18" s="216">
        <v>1059464</v>
      </c>
      <c r="G18" s="216">
        <v>6562586</v>
      </c>
      <c r="H18" s="347">
        <f t="shared" si="0"/>
        <v>7.2395161624203355E-2</v>
      </c>
      <c r="I18" s="215">
        <f t="shared" si="1"/>
        <v>3123246.290113843</v>
      </c>
      <c r="J18" s="348">
        <f t="shared" si="2"/>
        <v>3123246</v>
      </c>
      <c r="K18" s="214">
        <v>3123246</v>
      </c>
      <c r="L18" s="214">
        <v>0</v>
      </c>
      <c r="M18" s="219" t="s">
        <v>10</v>
      </c>
      <c r="N18" s="377">
        <f t="shared" si="3"/>
        <v>0</v>
      </c>
    </row>
    <row r="19" spans="1:14" x14ac:dyDescent="0.25">
      <c r="A19" s="221" t="s">
        <v>14</v>
      </c>
      <c r="B19" s="220" t="s">
        <v>4</v>
      </c>
      <c r="C19" s="216">
        <v>5458335</v>
      </c>
      <c r="D19" s="346">
        <v>1903446</v>
      </c>
      <c r="E19" s="346">
        <v>3554889</v>
      </c>
      <c r="F19" s="216">
        <v>0</v>
      </c>
      <c r="G19" s="216">
        <v>5458335</v>
      </c>
      <c r="H19" s="347">
        <f t="shared" si="0"/>
        <v>6.0213617699493162E-2</v>
      </c>
      <c r="I19" s="215">
        <f t="shared" si="1"/>
        <v>2597714.4587436328</v>
      </c>
      <c r="J19" s="348">
        <f t="shared" si="2"/>
        <v>2597714</v>
      </c>
      <c r="K19" s="214">
        <v>1298857</v>
      </c>
      <c r="L19" s="214">
        <v>1298857</v>
      </c>
      <c r="M19" s="219" t="s">
        <v>4</v>
      </c>
      <c r="N19" s="377">
        <f t="shared" si="3"/>
        <v>0</v>
      </c>
    </row>
    <row r="20" spans="1:14" x14ac:dyDescent="0.25">
      <c r="A20" s="221" t="s">
        <v>18</v>
      </c>
      <c r="B20" s="220" t="s">
        <v>8</v>
      </c>
      <c r="C20" s="216">
        <v>4931089</v>
      </c>
      <c r="D20" s="346">
        <v>1686221</v>
      </c>
      <c r="E20" s="346">
        <v>3244868</v>
      </c>
      <c r="F20" s="216">
        <v>0</v>
      </c>
      <c r="G20" s="216">
        <v>4931089</v>
      </c>
      <c r="H20" s="347">
        <f t="shared" si="0"/>
        <v>5.4397303919267698E-2</v>
      </c>
      <c r="I20" s="215">
        <f t="shared" si="1"/>
        <v>2346789.1202448518</v>
      </c>
      <c r="J20" s="348">
        <f t="shared" si="2"/>
        <v>2346789</v>
      </c>
      <c r="K20" s="214">
        <v>1408073</v>
      </c>
      <c r="L20" s="214">
        <v>938716</v>
      </c>
      <c r="M20" s="219" t="s">
        <v>8</v>
      </c>
      <c r="N20" s="377">
        <f t="shared" si="3"/>
        <v>0</v>
      </c>
    </row>
    <row r="21" spans="1:14" x14ac:dyDescent="0.25">
      <c r="A21" s="221" t="s">
        <v>17</v>
      </c>
      <c r="B21" s="220" t="s">
        <v>7</v>
      </c>
      <c r="C21" s="216">
        <v>3950948</v>
      </c>
      <c r="D21" s="346">
        <v>1440872</v>
      </c>
      <c r="E21" s="346">
        <v>2510076</v>
      </c>
      <c r="F21" s="216">
        <v>0</v>
      </c>
      <c r="G21" s="216">
        <v>3950948</v>
      </c>
      <c r="H21" s="347">
        <f t="shared" si="0"/>
        <v>4.3584879349211271E-2</v>
      </c>
      <c r="I21" s="215">
        <f t="shared" si="1"/>
        <v>1880323.3486666244</v>
      </c>
      <c r="J21" s="348">
        <f t="shared" si="2"/>
        <v>1880323</v>
      </c>
      <c r="K21" s="214">
        <v>1316226</v>
      </c>
      <c r="L21" s="214">
        <v>564097</v>
      </c>
      <c r="M21" s="219" t="s">
        <v>7</v>
      </c>
      <c r="N21" s="377">
        <f t="shared" si="3"/>
        <v>0</v>
      </c>
    </row>
    <row r="22" spans="1:14" x14ac:dyDescent="0.25">
      <c r="A22" s="221" t="s">
        <v>34</v>
      </c>
      <c r="B22" s="220" t="s">
        <v>27</v>
      </c>
      <c r="C22" s="216">
        <v>3676354</v>
      </c>
      <c r="D22" s="346">
        <v>1526464</v>
      </c>
      <c r="E22" s="346">
        <v>2149890</v>
      </c>
      <c r="F22" s="216">
        <v>0</v>
      </c>
      <c r="G22" s="216">
        <v>3676354</v>
      </c>
      <c r="H22" s="347">
        <f t="shared" si="0"/>
        <v>4.055569588235286E-2</v>
      </c>
      <c r="I22" s="215">
        <f t="shared" si="1"/>
        <v>1749639.393928733</v>
      </c>
      <c r="J22" s="348">
        <f t="shared" si="2"/>
        <v>1749639</v>
      </c>
      <c r="K22" s="214">
        <v>1500000</v>
      </c>
      <c r="L22" s="214">
        <v>249639</v>
      </c>
      <c r="M22" s="219" t="s">
        <v>27</v>
      </c>
      <c r="N22" s="377">
        <f t="shared" si="3"/>
        <v>0</v>
      </c>
    </row>
    <row r="23" spans="1:14" x14ac:dyDescent="0.25">
      <c r="A23" s="221" t="s">
        <v>30</v>
      </c>
      <c r="B23" s="220" t="s">
        <v>23</v>
      </c>
      <c r="C23" s="216">
        <v>3299179</v>
      </c>
      <c r="D23" s="346">
        <v>1491589</v>
      </c>
      <c r="E23" s="346">
        <v>1807590</v>
      </c>
      <c r="F23" s="216">
        <v>0</v>
      </c>
      <c r="G23" s="216">
        <v>3299179</v>
      </c>
      <c r="H23" s="347">
        <f t="shared" si="0"/>
        <v>3.6394890205199232E-2</v>
      </c>
      <c r="I23" s="215">
        <f t="shared" si="1"/>
        <v>1570135.3966517921</v>
      </c>
      <c r="J23" s="348">
        <f t="shared" si="2"/>
        <v>1570135</v>
      </c>
      <c r="K23" s="214">
        <v>1336000</v>
      </c>
      <c r="L23" s="214">
        <v>234135</v>
      </c>
      <c r="M23" s="219" t="s">
        <v>23</v>
      </c>
      <c r="N23" s="377">
        <f t="shared" si="3"/>
        <v>0</v>
      </c>
    </row>
    <row r="24" spans="1:14" x14ac:dyDescent="0.25">
      <c r="A24" s="221" t="s">
        <v>31</v>
      </c>
      <c r="B24" s="220" t="s">
        <v>24</v>
      </c>
      <c r="C24" s="216">
        <v>3837749</v>
      </c>
      <c r="D24" s="346">
        <v>1919998</v>
      </c>
      <c r="E24" s="346">
        <v>1917751</v>
      </c>
      <c r="F24" s="216">
        <v>0</v>
      </c>
      <c r="G24" s="216">
        <v>3837749</v>
      </c>
      <c r="H24" s="347">
        <f t="shared" si="0"/>
        <v>4.233612468135653E-2</v>
      </c>
      <c r="I24" s="215">
        <f t="shared" si="1"/>
        <v>1826450.0193426968</v>
      </c>
      <c r="J24" s="348">
        <f t="shared" si="2"/>
        <v>1826450</v>
      </c>
      <c r="K24" s="214">
        <v>1113822</v>
      </c>
      <c r="L24" s="214">
        <v>712628</v>
      </c>
      <c r="M24" s="219" t="s">
        <v>24</v>
      </c>
      <c r="N24" s="377">
        <f t="shared" si="3"/>
        <v>0</v>
      </c>
    </row>
    <row r="25" spans="1:14" x14ac:dyDescent="0.25">
      <c r="A25" s="221" t="s">
        <v>32</v>
      </c>
      <c r="B25" s="220" t="s">
        <v>25</v>
      </c>
      <c r="C25" s="216">
        <v>4167313</v>
      </c>
      <c r="D25" s="346">
        <v>1891252</v>
      </c>
      <c r="E25" s="346">
        <v>2276061</v>
      </c>
      <c r="F25" s="216">
        <v>0</v>
      </c>
      <c r="G25" s="216">
        <v>4167313</v>
      </c>
      <c r="H25" s="347">
        <f t="shared" si="0"/>
        <v>4.5971709654341102E-2</v>
      </c>
      <c r="I25" s="215">
        <f t="shared" si="1"/>
        <v>1983295.131978947</v>
      </c>
      <c r="J25" s="348">
        <f t="shared" si="2"/>
        <v>1983295</v>
      </c>
      <c r="K25" s="214">
        <v>1300000</v>
      </c>
      <c r="L25" s="214">
        <v>683295</v>
      </c>
      <c r="M25" s="219" t="s">
        <v>25</v>
      </c>
      <c r="N25" s="377">
        <f t="shared" si="3"/>
        <v>0</v>
      </c>
    </row>
    <row r="26" spans="1:14" x14ac:dyDescent="0.25">
      <c r="A26" s="221" t="s">
        <v>33</v>
      </c>
      <c r="B26" s="220" t="s">
        <v>26</v>
      </c>
      <c r="C26" s="216">
        <v>3405056</v>
      </c>
      <c r="D26" s="346">
        <v>1670517</v>
      </c>
      <c r="E26" s="346">
        <v>1734539</v>
      </c>
      <c r="F26" s="216">
        <v>0</v>
      </c>
      <c r="G26" s="216">
        <v>3405056</v>
      </c>
      <c r="H26" s="347">
        <f t="shared" si="0"/>
        <v>3.7562872236563967E-2</v>
      </c>
      <c r="I26" s="215">
        <f t="shared" si="1"/>
        <v>1620524.0616473265</v>
      </c>
      <c r="J26" s="348">
        <f t="shared" si="2"/>
        <v>1620524</v>
      </c>
      <c r="K26" s="214">
        <v>1500000</v>
      </c>
      <c r="L26" s="214">
        <v>120524</v>
      </c>
      <c r="M26" s="219" t="s">
        <v>26</v>
      </c>
      <c r="N26" s="377">
        <f t="shared" si="3"/>
        <v>0</v>
      </c>
    </row>
    <row r="27" spans="1:14" x14ac:dyDescent="0.25">
      <c r="A27" s="221" t="s">
        <v>35</v>
      </c>
      <c r="B27" s="220" t="s">
        <v>28</v>
      </c>
      <c r="C27" s="216">
        <v>3332802</v>
      </c>
      <c r="D27" s="346">
        <v>2448256</v>
      </c>
      <c r="E27" s="346">
        <v>884546</v>
      </c>
      <c r="F27" s="216">
        <v>0</v>
      </c>
      <c r="G27" s="216">
        <v>3332802</v>
      </c>
      <c r="H27" s="347">
        <f t="shared" si="0"/>
        <v>3.6765802299805014E-2</v>
      </c>
      <c r="I27" s="215">
        <f t="shared" si="1"/>
        <v>1586137.1541925692</v>
      </c>
      <c r="J27" s="348">
        <f t="shared" si="2"/>
        <v>1586137</v>
      </c>
      <c r="K27" s="214">
        <v>1427523</v>
      </c>
      <c r="L27" s="214">
        <v>158614</v>
      </c>
      <c r="M27" s="219" t="s">
        <v>28</v>
      </c>
      <c r="N27" s="377">
        <f t="shared" si="3"/>
        <v>0</v>
      </c>
    </row>
    <row r="28" spans="1:14" x14ac:dyDescent="0.25">
      <c r="A28" s="221" t="s">
        <v>36</v>
      </c>
      <c r="B28" s="220" t="s">
        <v>29</v>
      </c>
      <c r="C28" s="216">
        <v>3535717</v>
      </c>
      <c r="D28" s="346">
        <v>1370090</v>
      </c>
      <c r="E28" s="346">
        <v>2165627</v>
      </c>
      <c r="F28" s="216">
        <v>0</v>
      </c>
      <c r="G28" s="216">
        <v>3535717</v>
      </c>
      <c r="H28" s="347">
        <f t="shared" si="0"/>
        <v>3.9004258941893244E-2</v>
      </c>
      <c r="I28" s="215">
        <f t="shared" si="1"/>
        <v>1682707.8537549749</v>
      </c>
      <c r="J28" s="348">
        <f t="shared" si="2"/>
        <v>1682707</v>
      </c>
      <c r="K28" s="214">
        <v>1177895</v>
      </c>
      <c r="L28" s="214">
        <v>504812</v>
      </c>
      <c r="M28" s="219" t="s">
        <v>29</v>
      </c>
      <c r="N28" s="377">
        <f t="shared" si="3"/>
        <v>0</v>
      </c>
    </row>
    <row r="29" spans="1:14" x14ac:dyDescent="0.25">
      <c r="A29" s="221" t="s">
        <v>126</v>
      </c>
      <c r="B29" s="220" t="s">
        <v>89</v>
      </c>
      <c r="C29" s="216">
        <v>2352068</v>
      </c>
      <c r="D29" s="346">
        <v>641734</v>
      </c>
      <c r="E29" s="346">
        <v>1710334</v>
      </c>
      <c r="F29" s="216">
        <v>0</v>
      </c>
      <c r="G29" s="216">
        <v>2352068</v>
      </c>
      <c r="H29" s="347">
        <f t="shared" si="0"/>
        <v>2.5946836050775829E-2</v>
      </c>
      <c r="I29" s="215">
        <f t="shared" si="1"/>
        <v>1119389.1638289366</v>
      </c>
      <c r="J29" s="348">
        <f t="shared" si="2"/>
        <v>1119389</v>
      </c>
      <c r="K29" s="214">
        <v>1119389</v>
      </c>
      <c r="L29" s="214">
        <v>0</v>
      </c>
      <c r="M29" s="219" t="s">
        <v>89</v>
      </c>
      <c r="N29" s="377">
        <f t="shared" si="3"/>
        <v>0</v>
      </c>
    </row>
    <row r="30" spans="1:14" ht="15.75" thickBot="1" x14ac:dyDescent="0.3">
      <c r="A30" s="218" t="s">
        <v>127</v>
      </c>
      <c r="B30" s="217" t="s">
        <v>91</v>
      </c>
      <c r="C30" s="216">
        <v>1798013</v>
      </c>
      <c r="D30" s="346">
        <v>842374</v>
      </c>
      <c r="E30" s="346">
        <v>955639</v>
      </c>
      <c r="F30" s="216">
        <v>2472084</v>
      </c>
      <c r="G30" s="216">
        <v>4270097</v>
      </c>
      <c r="H30" s="349">
        <f t="shared" si="0"/>
        <v>4.7105571258955828E-2</v>
      </c>
      <c r="I30" s="215">
        <f t="shared" si="1"/>
        <v>2032211.7856705042</v>
      </c>
      <c r="J30" s="348">
        <f t="shared" si="2"/>
        <v>2032211</v>
      </c>
      <c r="K30" s="214">
        <v>1265527</v>
      </c>
      <c r="L30" s="214">
        <v>766684</v>
      </c>
      <c r="M30" s="213" t="s">
        <v>91</v>
      </c>
      <c r="N30" s="377">
        <f t="shared" si="3"/>
        <v>0</v>
      </c>
    </row>
    <row r="31" spans="1:14" ht="15.75" thickBot="1" x14ac:dyDescent="0.3">
      <c r="A31" s="403" t="s">
        <v>174</v>
      </c>
      <c r="B31" s="404"/>
      <c r="C31" s="212">
        <v>87117963</v>
      </c>
      <c r="D31" s="212">
        <v>34847188</v>
      </c>
      <c r="E31" s="212">
        <v>52270775</v>
      </c>
      <c r="F31" s="212">
        <v>3531548</v>
      </c>
      <c r="G31" s="212">
        <v>90649511</v>
      </c>
      <c r="H31" s="268">
        <f>SUM(H13:H30)</f>
        <v>0.99999999999999989</v>
      </c>
      <c r="I31" s="212">
        <f>SUM(I13:I30)</f>
        <v>43141644</v>
      </c>
      <c r="J31" s="350">
        <f>SUM(J13:J30)</f>
        <v>43141638</v>
      </c>
      <c r="K31" s="212">
        <f t="shared" ref="K31:L31" si="4">SUM(K13:K30)</f>
        <v>29361360</v>
      </c>
      <c r="L31" s="212">
        <f t="shared" si="4"/>
        <v>13780278</v>
      </c>
      <c r="M31" s="211"/>
      <c r="N31" s="377">
        <f t="shared" si="3"/>
        <v>0</v>
      </c>
    </row>
    <row r="32" spans="1:14" ht="11.25" customHeight="1" x14ac:dyDescent="0.25">
      <c r="J32" s="210">
        <f>+B42-J31</f>
        <v>6</v>
      </c>
    </row>
    <row r="33" spans="1:6" ht="11.25" customHeight="1" x14ac:dyDescent="0.25"/>
    <row r="34" spans="1:6" ht="11.25" customHeight="1" x14ac:dyDescent="0.25">
      <c r="A34" s="209"/>
      <c r="D34" s="193"/>
    </row>
    <row r="35" spans="1:6" s="205" customFormat="1" ht="21" customHeight="1" x14ac:dyDescent="0.25">
      <c r="A35" s="208" t="s">
        <v>370</v>
      </c>
      <c r="B35" s="207" t="s">
        <v>73</v>
      </c>
      <c r="C35" s="206" t="s">
        <v>297</v>
      </c>
      <c r="E35" s="351" t="s">
        <v>373</v>
      </c>
      <c r="F35" s="351" t="s">
        <v>296</v>
      </c>
    </row>
    <row r="36" spans="1:6" x14ac:dyDescent="0.25">
      <c r="A36" s="197" t="s">
        <v>137</v>
      </c>
      <c r="B36" s="81">
        <v>67670714</v>
      </c>
      <c r="C36" s="204">
        <f>+B36/B38</f>
        <v>0.67976476951682052</v>
      </c>
      <c r="E36" s="81">
        <f>+K31</f>
        <v>29361360</v>
      </c>
      <c r="F36" s="81">
        <f>+B36-E36</f>
        <v>38309354</v>
      </c>
    </row>
    <row r="37" spans="1:6" x14ac:dyDescent="0.25">
      <c r="A37" s="197" t="s">
        <v>138</v>
      </c>
      <c r="B37" s="344">
        <f>33557346-1677867</f>
        <v>31879479</v>
      </c>
      <c r="C37" s="203">
        <f>1-C36</f>
        <v>0.32023523048317948</v>
      </c>
      <c r="E37" s="81">
        <f>+L31</f>
        <v>13780278</v>
      </c>
      <c r="F37" s="81">
        <f>+B37-E37</f>
        <v>18099201</v>
      </c>
    </row>
    <row r="38" spans="1:6" x14ac:dyDescent="0.25">
      <c r="A38" s="202" t="s">
        <v>295</v>
      </c>
      <c r="B38" s="201">
        <f>SUM(B36:B37)</f>
        <v>99550193</v>
      </c>
      <c r="D38" s="193"/>
      <c r="E38" s="352">
        <f>SUM(E36:E37)</f>
        <v>43141638</v>
      </c>
      <c r="F38" s="81">
        <f>SUM(F36:F37)</f>
        <v>56408555</v>
      </c>
    </row>
    <row r="39" spans="1:6" x14ac:dyDescent="0.25">
      <c r="A39" s="197" t="s">
        <v>294</v>
      </c>
      <c r="B39" s="200">
        <v>3679873</v>
      </c>
      <c r="D39" s="193"/>
    </row>
    <row r="40" spans="1:6" x14ac:dyDescent="0.25">
      <c r="A40" s="199" t="s">
        <v>293</v>
      </c>
      <c r="B40" s="198">
        <f>B38-B39</f>
        <v>95870320</v>
      </c>
      <c r="D40" s="193"/>
    </row>
    <row r="41" spans="1:6" x14ac:dyDescent="0.25">
      <c r="A41" s="197" t="s">
        <v>292</v>
      </c>
      <c r="B41" s="342">
        <f>+A4</f>
        <v>0.45</v>
      </c>
      <c r="D41" s="193"/>
    </row>
    <row r="42" spans="1:6" x14ac:dyDescent="0.25">
      <c r="A42" s="196" t="s">
        <v>291</v>
      </c>
      <c r="B42" s="195">
        <f>B40*B41</f>
        <v>43141644</v>
      </c>
      <c r="C42" s="194"/>
      <c r="D42" s="193"/>
    </row>
    <row r="43" spans="1:6" x14ac:dyDescent="0.25">
      <c r="D43" s="193"/>
    </row>
    <row r="44" spans="1:6" x14ac:dyDescent="0.25">
      <c r="D44" s="193"/>
    </row>
    <row r="45" spans="1:6" x14ac:dyDescent="0.25">
      <c r="D45" s="193"/>
    </row>
    <row r="46" spans="1:6" x14ac:dyDescent="0.25">
      <c r="D46" s="193"/>
    </row>
    <row r="47" spans="1:6" x14ac:dyDescent="0.25">
      <c r="D47" s="193"/>
    </row>
    <row r="48" spans="1:6" x14ac:dyDescent="0.25">
      <c r="D48" s="193"/>
    </row>
    <row r="49" spans="4:4" x14ac:dyDescent="0.25">
      <c r="D49" s="193"/>
    </row>
    <row r="50" spans="4:4" x14ac:dyDescent="0.25">
      <c r="D50" s="193"/>
    </row>
    <row r="51" spans="4:4" x14ac:dyDescent="0.25">
      <c r="D51" s="193"/>
    </row>
    <row r="52" spans="4:4" x14ac:dyDescent="0.25">
      <c r="D52" s="193"/>
    </row>
    <row r="53" spans="4:4" x14ac:dyDescent="0.25">
      <c r="D53" s="193"/>
    </row>
    <row r="54" spans="4:4" x14ac:dyDescent="0.25">
      <c r="D54" s="193"/>
    </row>
    <row r="55" spans="4:4" x14ac:dyDescent="0.25">
      <c r="D55" s="193"/>
    </row>
    <row r="56" spans="4:4" x14ac:dyDescent="0.25">
      <c r="D56" s="193"/>
    </row>
    <row r="57" spans="4:4" x14ac:dyDescent="0.25">
      <c r="D57" s="193"/>
    </row>
    <row r="58" spans="4:4" x14ac:dyDescent="0.25">
      <c r="D58" s="193"/>
    </row>
    <row r="59" spans="4:4" x14ac:dyDescent="0.25">
      <c r="D59" s="193"/>
    </row>
    <row r="60" spans="4:4" x14ac:dyDescent="0.25">
      <c r="D60" s="193"/>
    </row>
    <row r="61" spans="4:4" x14ac:dyDescent="0.25">
      <c r="D61" s="193"/>
    </row>
    <row r="62" spans="4:4" x14ac:dyDescent="0.25">
      <c r="D62" s="193"/>
    </row>
    <row r="63" spans="4:4" x14ac:dyDescent="0.25">
      <c r="D63" s="193"/>
    </row>
    <row r="64" spans="4:4" x14ac:dyDescent="0.25">
      <c r="D64" s="193"/>
    </row>
    <row r="65" spans="4:4" x14ac:dyDescent="0.25">
      <c r="D65" s="193"/>
    </row>
    <row r="66" spans="4:4" x14ac:dyDescent="0.25">
      <c r="D66" s="193"/>
    </row>
    <row r="67" spans="4:4" x14ac:dyDescent="0.25">
      <c r="D67" s="193"/>
    </row>
    <row r="68" spans="4:4" x14ac:dyDescent="0.25">
      <c r="D68" s="193"/>
    </row>
    <row r="69" spans="4:4" x14ac:dyDescent="0.25">
      <c r="D69" s="193"/>
    </row>
    <row r="70" spans="4:4" x14ac:dyDescent="0.25">
      <c r="D70" s="193"/>
    </row>
    <row r="71" spans="4:4" x14ac:dyDescent="0.25">
      <c r="D71" s="193"/>
    </row>
    <row r="72" spans="4:4" x14ac:dyDescent="0.25">
      <c r="D72" s="193"/>
    </row>
    <row r="73" spans="4:4" x14ac:dyDescent="0.25">
      <c r="D73" s="193"/>
    </row>
    <row r="74" spans="4:4" x14ac:dyDescent="0.25">
      <c r="D74" s="193"/>
    </row>
    <row r="75" spans="4:4" x14ac:dyDescent="0.25">
      <c r="D75" s="193"/>
    </row>
    <row r="76" spans="4:4" x14ac:dyDescent="0.25">
      <c r="D76" s="193"/>
    </row>
    <row r="77" spans="4:4" x14ac:dyDescent="0.25">
      <c r="D77" s="193"/>
    </row>
    <row r="78" spans="4:4" x14ac:dyDescent="0.25">
      <c r="D78" s="193"/>
    </row>
    <row r="79" spans="4:4" x14ac:dyDescent="0.25">
      <c r="D79" s="193"/>
    </row>
    <row r="80" spans="4:4" x14ac:dyDescent="0.25">
      <c r="D80" s="193"/>
    </row>
    <row r="81" spans="4:4" x14ac:dyDescent="0.25">
      <c r="D81" s="193"/>
    </row>
    <row r="82" spans="4:4" x14ac:dyDescent="0.25">
      <c r="D82" s="193"/>
    </row>
    <row r="83" spans="4:4" x14ac:dyDescent="0.25">
      <c r="D83" s="193"/>
    </row>
    <row r="84" spans="4:4" x14ac:dyDescent="0.25">
      <c r="D84" s="193"/>
    </row>
    <row r="85" spans="4:4" x14ac:dyDescent="0.25">
      <c r="D85" s="193"/>
    </row>
    <row r="86" spans="4:4" x14ac:dyDescent="0.25">
      <c r="D86" s="193"/>
    </row>
    <row r="87" spans="4:4" x14ac:dyDescent="0.25">
      <c r="D87" s="193"/>
    </row>
    <row r="88" spans="4:4" x14ac:dyDescent="0.25">
      <c r="D88" s="193"/>
    </row>
    <row r="89" spans="4:4" x14ac:dyDescent="0.25">
      <c r="D89" s="193"/>
    </row>
    <row r="90" spans="4:4" x14ac:dyDescent="0.25">
      <c r="D90" s="193"/>
    </row>
    <row r="91" spans="4:4" x14ac:dyDescent="0.25">
      <c r="D91" s="193"/>
    </row>
    <row r="92" spans="4:4" x14ac:dyDescent="0.25">
      <c r="D92" s="193"/>
    </row>
    <row r="93" spans="4:4" x14ac:dyDescent="0.25">
      <c r="D93" s="193"/>
    </row>
    <row r="94" spans="4:4" x14ac:dyDescent="0.25">
      <c r="D94" s="193"/>
    </row>
    <row r="95" spans="4:4" x14ac:dyDescent="0.25">
      <c r="D95" s="193"/>
    </row>
    <row r="96" spans="4:4" x14ac:dyDescent="0.25">
      <c r="D96" s="193"/>
    </row>
    <row r="97" spans="4:4" x14ac:dyDescent="0.25">
      <c r="D97" s="193"/>
    </row>
    <row r="98" spans="4:4" x14ac:dyDescent="0.25">
      <c r="D98" s="193"/>
    </row>
    <row r="99" spans="4:4" x14ac:dyDescent="0.25">
      <c r="D99" s="193"/>
    </row>
    <row r="100" spans="4:4" x14ac:dyDescent="0.25">
      <c r="D100" s="193"/>
    </row>
    <row r="101" spans="4:4" x14ac:dyDescent="0.25">
      <c r="D101" s="193"/>
    </row>
    <row r="102" spans="4:4" x14ac:dyDescent="0.25">
      <c r="D102" s="193"/>
    </row>
    <row r="103" spans="4:4" x14ac:dyDescent="0.25">
      <c r="D103" s="193"/>
    </row>
    <row r="104" spans="4:4" x14ac:dyDescent="0.25">
      <c r="D104" s="193"/>
    </row>
    <row r="105" spans="4:4" x14ac:dyDescent="0.25">
      <c r="D105" s="193"/>
    </row>
    <row r="106" spans="4:4" x14ac:dyDescent="0.25">
      <c r="D106" s="193"/>
    </row>
    <row r="107" spans="4:4" x14ac:dyDescent="0.25">
      <c r="D107" s="193"/>
    </row>
  </sheetData>
  <mergeCells count="18">
    <mergeCell ref="M10:M12"/>
    <mergeCell ref="K11:K12"/>
    <mergeCell ref="L11:L12"/>
    <mergeCell ref="C9:E9"/>
    <mergeCell ref="G9:H9"/>
    <mergeCell ref="I9:M9"/>
    <mergeCell ref="C10:C12"/>
    <mergeCell ref="D10:D11"/>
    <mergeCell ref="E10:E11"/>
    <mergeCell ref="F10:F11"/>
    <mergeCell ref="G10:G12"/>
    <mergeCell ref="A31:B31"/>
    <mergeCell ref="H10:H12"/>
    <mergeCell ref="I10:I12"/>
    <mergeCell ref="J10:J12"/>
    <mergeCell ref="K10:L10"/>
    <mergeCell ref="A10:A12"/>
    <mergeCell ref="B10:B12"/>
  </mergeCells>
  <pageMargins left="0.11811023622047245" right="0.11811023622047245" top="0.55118110236220474" bottom="0.35433070866141736" header="0.31496062992125984" footer="0.31496062992125984"/>
  <pageSetup paperSize="14" scale="6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10F6-E18D-40C0-A33E-99CF77E98230}">
  <sheetPr>
    <tabColor rgb="FF92D050"/>
  </sheetPr>
  <dimension ref="A1:M24"/>
  <sheetViews>
    <sheetView zoomScaleNormal="100" workbookViewId="0">
      <selection activeCell="L5" sqref="L5"/>
    </sheetView>
  </sheetViews>
  <sheetFormatPr baseColWidth="10" defaultRowHeight="15" x14ac:dyDescent="0.25"/>
  <cols>
    <col min="1" max="1" width="40.28515625" customWidth="1"/>
    <col min="2" max="2" width="14" customWidth="1"/>
    <col min="3" max="3" width="14.7109375" customWidth="1"/>
    <col min="4" max="9" width="11.85546875" customWidth="1"/>
    <col min="10" max="10" width="12.7109375" customWidth="1"/>
    <col min="11" max="12" width="12.5703125" customWidth="1"/>
  </cols>
  <sheetData>
    <row r="1" spans="1:13" x14ac:dyDescent="0.25">
      <c r="A1" s="16"/>
    </row>
    <row r="2" spans="1:13" s="57" customFormat="1" ht="15.75" thickBot="1" x14ac:dyDescent="0.3">
      <c r="B2" s="57">
        <v>1</v>
      </c>
      <c r="C2" s="57">
        <v>2</v>
      </c>
      <c r="D2" s="57">
        <v>3</v>
      </c>
      <c r="E2" s="57">
        <v>4</v>
      </c>
      <c r="F2" s="57">
        <v>5</v>
      </c>
      <c r="G2" s="57">
        <v>6</v>
      </c>
      <c r="H2" s="57">
        <v>7</v>
      </c>
      <c r="I2" s="57">
        <v>8</v>
      </c>
      <c r="J2" s="57">
        <v>9</v>
      </c>
      <c r="K2" s="57">
        <v>10</v>
      </c>
      <c r="L2" s="57">
        <v>11</v>
      </c>
    </row>
    <row r="3" spans="1:13" s="1" customFormat="1" ht="22.5" customHeight="1" x14ac:dyDescent="0.2">
      <c r="A3" s="313" t="s">
        <v>11</v>
      </c>
      <c r="B3" s="314" t="s">
        <v>1</v>
      </c>
      <c r="C3" s="314" t="s">
        <v>21</v>
      </c>
      <c r="D3" s="435" t="s">
        <v>98</v>
      </c>
      <c r="E3" s="435"/>
      <c r="F3" s="435"/>
      <c r="G3" s="435"/>
      <c r="H3" s="435"/>
      <c r="I3" s="435"/>
      <c r="J3" s="435"/>
      <c r="K3" s="435"/>
      <c r="L3" s="435"/>
    </row>
    <row r="4" spans="1:13" s="83" customFormat="1" ht="62.25" customHeight="1" x14ac:dyDescent="0.2">
      <c r="A4" s="315"/>
      <c r="B4" s="315"/>
      <c r="C4" s="315"/>
      <c r="D4" s="321" t="s">
        <v>102</v>
      </c>
      <c r="E4" s="321" t="s">
        <v>103</v>
      </c>
      <c r="F4" s="321" t="s">
        <v>104</v>
      </c>
      <c r="G4" s="321" t="s">
        <v>105</v>
      </c>
      <c r="H4" s="321" t="s">
        <v>106</v>
      </c>
      <c r="I4" s="321" t="s">
        <v>107</v>
      </c>
      <c r="J4" s="251" t="s">
        <v>425</v>
      </c>
      <c r="K4" s="251" t="s">
        <v>426</v>
      </c>
      <c r="L4" s="251" t="s">
        <v>427</v>
      </c>
      <c r="M4" s="1"/>
    </row>
    <row r="5" spans="1:13" ht="15.75" customHeight="1" x14ac:dyDescent="0.25">
      <c r="A5" s="37" t="str">
        <f>'Indicadores (Desempeño)'!A5</f>
        <v>UNIVERSIDAD DE CHILE</v>
      </c>
      <c r="B5" s="58" t="str">
        <f>'Indicadores (Desempeño)'!B5</f>
        <v>UCH</v>
      </c>
      <c r="C5" s="59" t="str">
        <f>'Indicadores (Desempeño)'!C5</f>
        <v>CRUCH-ESTATAL</v>
      </c>
      <c r="D5" s="60">
        <f>IFERROR(VLOOKUP(B5,Publicaciones!B2:E20,4,0),0)</f>
        <v>1314024.9071207431</v>
      </c>
      <c r="E5" s="60">
        <f>IFERROR(VLOOKUP(B5,Acreditación!$B$3:$K$20,10,0),0)</f>
        <v>345625.7322175731</v>
      </c>
      <c r="F5" s="60">
        <f>IFERROR(VLOOKUP(B5,'Doctorado JC '!$B$2:$E$20,4,0),0)</f>
        <v>1102906.5575646602</v>
      </c>
      <c r="G5" s="60">
        <f>IFERROR(VLOOKUP(B5,'Programas Doct. Acreditados '!$B$3:$G$20,6,0),0)</f>
        <v>1388311.7647058824</v>
      </c>
      <c r="H5" s="60">
        <f>IFERROR(VLOOKUP(B5,'Académicos JC '!$B$3:$E$20,4,0),0)</f>
        <v>840375.7284812677</v>
      </c>
      <c r="I5" s="60">
        <f>IFERROR(VLOOKUP(B5,'Matrícula Regular Pre '!B3:E20,4,0),0)</f>
        <v>734852.16800593259</v>
      </c>
      <c r="J5" s="322">
        <f>(D5+E5+F5+G5+H5+I5)</f>
        <v>5726096.8580960594</v>
      </c>
      <c r="K5" s="322">
        <f>ROUND((D5+E5+F5+G5+H5+I5),0)</f>
        <v>5726097</v>
      </c>
      <c r="L5" s="322">
        <f>TRUNC((D5+E5+F5+G5+H5+I5),0)</f>
        <v>5726096</v>
      </c>
    </row>
    <row r="6" spans="1:13" ht="15.75" customHeight="1" x14ac:dyDescent="0.25">
      <c r="A6" s="37" t="str">
        <f>'Indicadores (Desempeño)'!A6</f>
        <v>UNIVERSIDAD DE SANTIAGO DE CHILE</v>
      </c>
      <c r="B6" s="58" t="str">
        <f>'Indicadores (Desempeño)'!B6</f>
        <v>USA</v>
      </c>
      <c r="C6" s="59" t="str">
        <f>'Indicadores (Desempeño)'!C6</f>
        <v>CRUCH-ESTATAL</v>
      </c>
      <c r="D6" s="60">
        <f>IFERROR(VLOOKUP(B6,Publicaciones!B3:E21,4,0),0)</f>
        <v>387265.91331269348</v>
      </c>
      <c r="E6" s="60">
        <f>IFERROR(VLOOKUP(B6,Acreditación!$B$3:$K$20,10,0),0)</f>
        <v>345625.7322175731</v>
      </c>
      <c r="F6" s="60">
        <f>IFERROR(VLOOKUP(B6,'Doctorado JC '!$B$2:$E$20,4,0),0)</f>
        <v>446564.61432822153</v>
      </c>
      <c r="G6" s="60">
        <f>IFERROR(VLOOKUP(B6,'Programas Doct. Acreditados '!$B$3:$G$20,6,0),0)</f>
        <v>462770.5882352941</v>
      </c>
      <c r="H6" s="60">
        <f>IFERROR(VLOOKUP(B6,'Académicos JC '!$B$3:$E$20,4,0),0)</f>
        <v>378723.69410500873</v>
      </c>
      <c r="I6" s="60">
        <f>IFERROR(VLOOKUP(B6,'Matrícula Regular Pre '!B4:E21,4,0),0)</f>
        <v>443410.36851950234</v>
      </c>
      <c r="J6" s="322">
        <f t="shared" ref="J6:J22" si="0">(D6+E6+F6+G6+H6+I6)</f>
        <v>2464360.9107182929</v>
      </c>
      <c r="K6" s="322">
        <f t="shared" ref="K6:K22" si="1">ROUND((D6+E6+F6+G6+H6+I6),0)</f>
        <v>2464361</v>
      </c>
      <c r="L6" s="322">
        <f t="shared" ref="L6:L22" si="2">TRUNC((D6+E6+F6+G6+H6+I6),0)</f>
        <v>2464360</v>
      </c>
    </row>
    <row r="7" spans="1:13" x14ac:dyDescent="0.25">
      <c r="A7" s="37" t="str">
        <f>'Indicadores (Desempeño)'!A7</f>
        <v>UNIVERSIDAD DE ANTOFAGASTA</v>
      </c>
      <c r="B7" s="58" t="str">
        <f>'Indicadores (Desempeño)'!B7</f>
        <v>ANT</v>
      </c>
      <c r="C7" s="59" t="str">
        <f>'Indicadores (Desempeño)'!C7</f>
        <v>CRUCH-ESTATAL</v>
      </c>
      <c r="D7" s="60">
        <f>IFERROR(VLOOKUP(B7,Publicaciones!B4:E22,4,0),0)</f>
        <v>127058.94220846232</v>
      </c>
      <c r="E7" s="60">
        <f>IFERROR(VLOOKUP(B7,Acreditación!$B$3:$K$20,10,0),0)</f>
        <v>312708.99581589946</v>
      </c>
      <c r="F7" s="60">
        <f>IFERROR(VLOOKUP(B7,'Doctorado JC '!$B$2:$E$20,4,0),0)</f>
        <v>132348.7869077592</v>
      </c>
      <c r="G7" s="60">
        <f>IFERROR(VLOOKUP(B7,'Programas Doct. Acreditados '!$B$3:$G$20,6,0),0)</f>
        <v>165275.21008403364</v>
      </c>
      <c r="H7" s="60">
        <f>IFERROR(VLOOKUP(B7,'Académicos JC '!$B$3:$E$20,4,0),0)</f>
        <v>211282.39559554184</v>
      </c>
      <c r="I7" s="60">
        <f>IFERROR(VLOOKUP(B7,'Matrícula Regular Pre '!B5:E22,4,0),0)</f>
        <v>153318.23975074157</v>
      </c>
      <c r="J7" s="322">
        <f t="shared" si="0"/>
        <v>1101992.570362438</v>
      </c>
      <c r="K7" s="322">
        <f t="shared" si="1"/>
        <v>1101993</v>
      </c>
      <c r="L7" s="322">
        <f t="shared" si="2"/>
        <v>1101992</v>
      </c>
    </row>
    <row r="8" spans="1:13" x14ac:dyDescent="0.25">
      <c r="A8" s="37" t="str">
        <f>'Indicadores (Desempeño)'!A8</f>
        <v>UNIVERSIDAD DE LA FRONTERA</v>
      </c>
      <c r="B8" s="58" t="str">
        <f>'Indicadores (Desempeño)'!B8</f>
        <v>FRO</v>
      </c>
      <c r="C8" s="59" t="str">
        <f>'Indicadores (Desempeño)'!C8</f>
        <v>CRUCH-ESTATAL</v>
      </c>
      <c r="D8" s="60">
        <f>IFERROR(VLOOKUP(B8,Publicaciones!B5:E23,4,0),0)</f>
        <v>372246.16615067079</v>
      </c>
      <c r="E8" s="60">
        <f>IFERROR(VLOOKUP(B8,Acreditación!$B$3:$K$20,10,0),0)</f>
        <v>329167.36401673628</v>
      </c>
      <c r="F8" s="60">
        <f>IFERROR(VLOOKUP(B8,'Doctorado JC '!$B$2:$E$20,4,0),0)</f>
        <v>299810.51728084235</v>
      </c>
      <c r="G8" s="60">
        <f>IFERROR(VLOOKUP(B8,'Programas Doct. Acreditados '!$B$3:$G$20,6,0),0)</f>
        <v>297495.37815126049</v>
      </c>
      <c r="H8" s="60">
        <f>IFERROR(VLOOKUP(B8,'Académicos JC '!$B$3:$E$20,4,0),0)</f>
        <v>226600.36927621861</v>
      </c>
      <c r="I8" s="60">
        <f>IFERROR(VLOOKUP(B8,'Matrícula Regular Pre '!B6:E23,4,0),0)</f>
        <v>245052.31078717846</v>
      </c>
      <c r="J8" s="322">
        <f t="shared" si="0"/>
        <v>1770372.105662907</v>
      </c>
      <c r="K8" s="322">
        <f t="shared" si="1"/>
        <v>1770372</v>
      </c>
      <c r="L8" s="322">
        <f t="shared" si="2"/>
        <v>1770372</v>
      </c>
    </row>
    <row r="9" spans="1:13" x14ac:dyDescent="0.25">
      <c r="A9" s="37" t="str">
        <f>'Indicadores (Desempeño)'!A9</f>
        <v>UNIVERSIDAD DE TALCA</v>
      </c>
      <c r="B9" s="58" t="str">
        <f>'Indicadores (Desempeño)'!B9</f>
        <v>TAL</v>
      </c>
      <c r="C9" s="59" t="str">
        <f>'Indicadores (Desempeño)'!C9</f>
        <v>CRUCH-ESTATAL</v>
      </c>
      <c r="D9" s="60">
        <f>IFERROR(VLOOKUP(B9,Publicaciones!B6:E24,4,0),0)</f>
        <v>263048.54489164089</v>
      </c>
      <c r="E9" s="60">
        <f>IFERROR(VLOOKUP(B9,Acreditación!$B$3:$K$20,10,0),0)</f>
        <v>329167.36401673628</v>
      </c>
      <c r="F9" s="60">
        <f>IFERROR(VLOOKUP(B9,'Doctorado JC '!$B$2:$E$20,4,0),0)</f>
        <v>238587.9491874571</v>
      </c>
      <c r="G9" s="60">
        <f>IFERROR(VLOOKUP(B9,'Programas Doct. Acreditados '!$B$3:$G$20,6,0),0)</f>
        <v>363605.46218487399</v>
      </c>
      <c r="H9" s="60">
        <f>IFERROR(VLOOKUP(B9,'Académicos JC '!$B$3:$E$20,4,0),0)</f>
        <v>255123.49268161674</v>
      </c>
      <c r="I9" s="60">
        <f>IFERROR(VLOOKUP(B9,'Matrícula Regular Pre '!B7:E24,4,0),0)</f>
        <v>239370.6324434409</v>
      </c>
      <c r="J9" s="322">
        <f t="shared" si="0"/>
        <v>1688903.4454057659</v>
      </c>
      <c r="K9" s="322">
        <f t="shared" si="1"/>
        <v>1688903</v>
      </c>
      <c r="L9" s="322">
        <f t="shared" si="2"/>
        <v>1688903</v>
      </c>
    </row>
    <row r="10" spans="1:13" x14ac:dyDescent="0.25">
      <c r="A10" s="37" t="str">
        <f>'Indicadores (Desempeño)'!A10</f>
        <v>UNIVERSIDAD DE TARAPACÁ</v>
      </c>
      <c r="B10" s="58" t="str">
        <f>'Indicadores (Desempeño)'!B10</f>
        <v>UTA</v>
      </c>
      <c r="C10" s="59" t="str">
        <f>'Indicadores (Desempeño)'!C10</f>
        <v>CRUCH-ESTATAL</v>
      </c>
      <c r="D10" s="60">
        <f>IFERROR(VLOOKUP(B10,Publicaciones!B7:E25,4,0),0)</f>
        <v>321097.83797729621</v>
      </c>
      <c r="E10" s="60">
        <f>IFERROR(VLOOKUP(B10,Acreditación!$B$3:$K$20,10,0),0)</f>
        <v>329167.36401673628</v>
      </c>
      <c r="F10" s="60">
        <f>IFERROR(VLOOKUP(B10,'Doctorado JC '!$B$2:$E$20,4,0),0)</f>
        <v>198073.01441977569</v>
      </c>
      <c r="G10" s="60">
        <f>IFERROR(VLOOKUP(B10,'Programas Doct. Acreditados '!$B$3:$G$20,6,0),0)</f>
        <v>198330.25210084033</v>
      </c>
      <c r="H10" s="60">
        <f>IFERROR(VLOOKUP(B10,'Académicos JC '!$B$3:$E$20,4,0),0)</f>
        <v>185400.30213508796</v>
      </c>
      <c r="I10" s="60">
        <f>IFERROR(VLOOKUP(B10,'Matrícula Regular Pre '!B8:E25,4,0),0)</f>
        <v>218145.97196396158</v>
      </c>
      <c r="J10" s="322">
        <f t="shared" si="0"/>
        <v>1450214.7426136981</v>
      </c>
      <c r="K10" s="322">
        <f t="shared" si="1"/>
        <v>1450215</v>
      </c>
      <c r="L10" s="322">
        <f t="shared" si="2"/>
        <v>1450214</v>
      </c>
    </row>
    <row r="11" spans="1:13" x14ac:dyDescent="0.25">
      <c r="A11" s="37" t="str">
        <f>'Indicadores (Desempeño)'!A11</f>
        <v>UNIVERSIDAD DE VALPARAÍSO</v>
      </c>
      <c r="B11" s="58" t="str">
        <f>'Indicadores (Desempeño)'!B11</f>
        <v>UVA</v>
      </c>
      <c r="C11" s="59" t="str">
        <f>'Indicadores (Desempeño)'!C11</f>
        <v>CRUCH-ESTATAL</v>
      </c>
      <c r="D11" s="60">
        <f>IFERROR(VLOOKUP(B11,Publicaciones!B8:E26,4,0),0)</f>
        <v>245593.16305469556</v>
      </c>
      <c r="E11" s="60">
        <f>IFERROR(VLOOKUP(B11,Acreditación!$B$3:$K$20,10,0),0)</f>
        <v>329167.36401673628</v>
      </c>
      <c r="F11" s="60">
        <f>IFERROR(VLOOKUP(B11,'Doctorado JC '!$B$2:$E$20,4,0),0)</f>
        <v>291707.53032730601</v>
      </c>
      <c r="G11" s="60">
        <f>IFERROR(VLOOKUP(B11,'Programas Doct. Acreditados '!$B$3:$G$20,6,0),0)</f>
        <v>330550.42016806727</v>
      </c>
      <c r="H11" s="60">
        <f>IFERROR(VLOOKUP(B11,'Académicos JC '!$B$3:$E$20,4,0),0)</f>
        <v>308472.29756949109</v>
      </c>
      <c r="I11" s="60">
        <f>IFERROR(VLOOKUP(B11,'Matrícula Regular Pre '!B9:E26,4,0),0)</f>
        <v>321983.54169433744</v>
      </c>
      <c r="J11" s="322">
        <f t="shared" si="0"/>
        <v>1827474.3168306337</v>
      </c>
      <c r="K11" s="322">
        <f t="shared" si="1"/>
        <v>1827474</v>
      </c>
      <c r="L11" s="322">
        <f t="shared" si="2"/>
        <v>1827474</v>
      </c>
    </row>
    <row r="12" spans="1:13" x14ac:dyDescent="0.25">
      <c r="A12" s="37" t="str">
        <f>'Indicadores (Desempeño)'!A12</f>
        <v>UNIVERSIDAD DEL BÍO-BÍO</v>
      </c>
      <c r="B12" s="58" t="str">
        <f>'Indicadores (Desempeño)'!B12</f>
        <v>UBB</v>
      </c>
      <c r="C12" s="59" t="str">
        <f>'Indicadores (Desempeño)'!C12</f>
        <v>CRUCH-ESTATAL</v>
      </c>
      <c r="D12" s="60">
        <f>IFERROR(VLOOKUP(B12,Publicaciones!B9:E27,4,0),0)</f>
        <v>162375.64499484006</v>
      </c>
      <c r="E12" s="60">
        <f>IFERROR(VLOOKUP(B12,Acreditación!$B$3:$K$20,10,0),0)</f>
        <v>312708.99581589946</v>
      </c>
      <c r="F12" s="60">
        <f>IFERROR(VLOOKUP(B12,'Doctorado JC '!$B$2:$E$20,4,0),0)</f>
        <v>256594.58686198216</v>
      </c>
      <c r="G12" s="60">
        <f>IFERROR(VLOOKUP(B12,'Programas Doct. Acreditados '!$B$3:$G$20,6,0),0)</f>
        <v>165275.21008403364</v>
      </c>
      <c r="H12" s="60">
        <f>IFERROR(VLOOKUP(B12,'Académicos JC '!$B$3:$E$20,4,0),0)</f>
        <v>233995.25312206257</v>
      </c>
      <c r="I12" s="60">
        <f>IFERROR(VLOOKUP(B12,'Matrícula Regular Pre '!B10:E27,4,0),0)</f>
        <v>232208.67008677559</v>
      </c>
      <c r="J12" s="322">
        <f t="shared" si="0"/>
        <v>1363158.3609655935</v>
      </c>
      <c r="K12" s="322">
        <f t="shared" si="1"/>
        <v>1363158</v>
      </c>
      <c r="L12" s="322">
        <f t="shared" si="2"/>
        <v>1363158</v>
      </c>
    </row>
    <row r="13" spans="1:13" x14ac:dyDescent="0.25">
      <c r="A13" s="37" t="str">
        <f>'Indicadores (Desempeño)'!A13</f>
        <v>UNIVERSIDAD DE LA SERENA</v>
      </c>
      <c r="B13" s="58" t="str">
        <f>'Indicadores (Desempeño)'!B13</f>
        <v>ULS</v>
      </c>
      <c r="C13" s="59" t="str">
        <f>'Indicadores (Desempeño)'!C13</f>
        <v>CRUCH-ESTATAL</v>
      </c>
      <c r="D13" s="60">
        <f>IFERROR(VLOOKUP(B13,Publicaciones!B10:E28,4,0),0)</f>
        <v>138425.23735810112</v>
      </c>
      <c r="E13" s="60">
        <f>IFERROR(VLOOKUP(B13,Acreditación!$B$3:$K$20,10,0),0)</f>
        <v>197500.41841004178</v>
      </c>
      <c r="F13" s="60">
        <f>IFERROR(VLOOKUP(B13,'Doctorado JC '!$B$2:$E$20,4,0),0)</f>
        <v>103538.16662851912</v>
      </c>
      <c r="G13" s="60">
        <f>IFERROR(VLOOKUP(B13,'Programas Doct. Acreditados '!$B$3:$G$20,6,0),0)</f>
        <v>165275.21008403364</v>
      </c>
      <c r="H13" s="60">
        <f>IFERROR(VLOOKUP(B13,'Académicos JC '!$B$3:$E$20,4,0),0)</f>
        <v>109338.6397206929</v>
      </c>
      <c r="I13" s="60">
        <f>IFERROR(VLOOKUP(B13,'Matrícula Regular Pre '!B11:E28,4,0),0)</f>
        <v>162504.70818391108</v>
      </c>
      <c r="J13" s="322">
        <f t="shared" si="0"/>
        <v>876582.38038529956</v>
      </c>
      <c r="K13" s="322">
        <f t="shared" si="1"/>
        <v>876582</v>
      </c>
      <c r="L13" s="322">
        <f t="shared" si="2"/>
        <v>876582</v>
      </c>
    </row>
    <row r="14" spans="1:13" x14ac:dyDescent="0.25">
      <c r="A14" s="37" t="str">
        <f>'Indicadores (Desempeño)'!A14</f>
        <v>UNIVERSIDAD DE PLAYA ANCHA CS. EDUCACIÓN</v>
      </c>
      <c r="B14" s="58" t="str">
        <f>'Indicadores (Desempeño)'!B14</f>
        <v>UPA</v>
      </c>
      <c r="C14" s="59" t="str">
        <f>'Indicadores (Desempeño)'!C14</f>
        <v>CRUCH-ESTATAL</v>
      </c>
      <c r="D14" s="60">
        <f>IFERROR(VLOOKUP(B14,Publicaciones!B11:E29,4,0),0)</f>
        <v>61296.805985552121</v>
      </c>
      <c r="E14" s="60">
        <f>IFERROR(VLOOKUP(B14,Acreditación!$B$3:$K$20,10,0),0)</f>
        <v>82291.841004184069</v>
      </c>
      <c r="F14" s="60">
        <f>IFERROR(VLOOKUP(B14,'Doctorado JC '!$B$2:$E$20,4,0),0)</f>
        <v>138651.11009384299</v>
      </c>
      <c r="G14" s="60">
        <f>IFERROR(VLOOKUP(B14,'Programas Doct. Acreditados '!$B$3:$G$20,6,0),0)</f>
        <v>66110.084033613442</v>
      </c>
      <c r="H14" s="60">
        <f>IFERROR(VLOOKUP(B14,'Académicos JC '!$B$3:$E$20,4,0),0)</f>
        <v>172195.1524103666</v>
      </c>
      <c r="I14" s="60">
        <f>IFERROR(VLOOKUP(B14,'Matrícula Regular Pre '!B12:E29,4,0),0)</f>
        <v>142542.64289192896</v>
      </c>
      <c r="J14" s="322">
        <f t="shared" si="0"/>
        <v>663087.63641948812</v>
      </c>
      <c r="K14" s="322">
        <f t="shared" si="1"/>
        <v>663088</v>
      </c>
      <c r="L14" s="322">
        <f t="shared" si="2"/>
        <v>663087</v>
      </c>
    </row>
    <row r="15" spans="1:13" x14ac:dyDescent="0.25">
      <c r="A15" s="37" t="str">
        <f>'Indicadores (Desempeño)'!A15</f>
        <v>UNIVERSIDAD ARTURO PRAT</v>
      </c>
      <c r="B15" s="58" t="str">
        <f>'Indicadores (Desempeño)'!B15</f>
        <v>UAP</v>
      </c>
      <c r="C15" s="59" t="str">
        <f>'Indicadores (Desempeño)'!C15</f>
        <v>CRUCH-ESTATAL</v>
      </c>
      <c r="D15" s="60">
        <f>IFERROR(VLOOKUP(B15,Publicaciones!B12:E30,4,0),0)</f>
        <v>60890.866873065017</v>
      </c>
      <c r="E15" s="60">
        <f>IFERROR(VLOOKUP(B15,Acreditación!$B$3:$K$20,10,0),0)</f>
        <v>82291.841004184069</v>
      </c>
      <c r="F15" s="60">
        <f>IFERROR(VLOOKUP(B15,'Doctorado JC '!$B$2:$E$20,4,0),0)</f>
        <v>73827.214465552752</v>
      </c>
      <c r="G15" s="60">
        <f>IFERROR(VLOOKUP(B15,'Programas Doct. Acreditados '!$B$3:$G$20,6,0),0)</f>
        <v>33055.042016806721</v>
      </c>
      <c r="H15" s="60">
        <f>IFERROR(VLOOKUP(B15,'Académicos JC '!$B$3:$E$20,4,0),0)</f>
        <v>118846.34752249227</v>
      </c>
      <c r="I15" s="60">
        <f>IFERROR(VLOOKUP(B15,'Matrícula Regular Pre '!B13:E30,4,0),0)</f>
        <v>157084.25643069021</v>
      </c>
      <c r="J15" s="322">
        <f t="shared" si="0"/>
        <v>525995.56831279106</v>
      </c>
      <c r="K15" s="322">
        <f t="shared" si="1"/>
        <v>525996</v>
      </c>
      <c r="L15" s="322">
        <f t="shared" si="2"/>
        <v>525995</v>
      </c>
    </row>
    <row r="16" spans="1:13" x14ac:dyDescent="0.25">
      <c r="A16" s="37" t="str">
        <f>'Indicadores (Desempeño)'!A16</f>
        <v>UNIVERSIDAD DE ATACAMA</v>
      </c>
      <c r="B16" s="58" t="str">
        <f>'Indicadores (Desempeño)'!B16</f>
        <v>ATA</v>
      </c>
      <c r="C16" s="59" t="str">
        <f>'Indicadores (Desempeño)'!C16</f>
        <v>CRUCH-ESTATAL</v>
      </c>
      <c r="D16" s="60">
        <f>IFERROR(VLOOKUP(B16,Publicaciones!B13:E31,4,0),0)</f>
        <v>86465.030959752316</v>
      </c>
      <c r="E16" s="60">
        <f>IFERROR(VLOOKUP(B16,Acreditación!$B$3:$K$20,10,0),0)</f>
        <v>181042.05020920496</v>
      </c>
      <c r="F16" s="60">
        <f>IFERROR(VLOOKUP(B16,'Doctorado JC '!$B$2:$E$20,4,0),0)</f>
        <v>88232.524605172803</v>
      </c>
      <c r="G16" s="60">
        <f>IFERROR(VLOOKUP(B16,'Programas Doct. Acreditados '!$B$3:$G$20,6,0),0)</f>
        <v>33055.042016806721</v>
      </c>
      <c r="H16" s="60">
        <f>IFERROR(VLOOKUP(B16,'Académicos JC '!$B$3:$E$20,4,0),0)</f>
        <v>172723.35839935543</v>
      </c>
      <c r="I16" s="60">
        <f>IFERROR(VLOOKUP(B16,'Matrícula Regular Pre '!B14:E31,4,0),0)</f>
        <v>152186.25785850268</v>
      </c>
      <c r="J16" s="322">
        <f t="shared" si="0"/>
        <v>713704.26404879498</v>
      </c>
      <c r="K16" s="322">
        <f t="shared" si="1"/>
        <v>713704</v>
      </c>
      <c r="L16" s="322">
        <f t="shared" si="2"/>
        <v>713704</v>
      </c>
    </row>
    <row r="17" spans="1:12" x14ac:dyDescent="0.25">
      <c r="A17" s="37" t="str">
        <f>'Indicadores (Desempeño)'!A17</f>
        <v>UNIVERSIDAD DE LOS LAGOS</v>
      </c>
      <c r="B17" s="58" t="str">
        <f>'Indicadores (Desempeño)'!B17</f>
        <v>ULA</v>
      </c>
      <c r="C17" s="59" t="str">
        <f>'Indicadores (Desempeño)'!C17</f>
        <v>CRUCH-ESTATAL</v>
      </c>
      <c r="D17" s="60">
        <f>IFERROR(VLOOKUP(B17,Publicaciones!B14:E32,4,0),0)</f>
        <v>92148.178534571722</v>
      </c>
      <c r="E17" s="60">
        <f>IFERROR(VLOOKUP(B17,Acreditación!$B$3:$K$20,10,0),0)</f>
        <v>197500.41841004178</v>
      </c>
      <c r="F17" s="60">
        <f>IFERROR(VLOOKUP(B17,'Doctorado JC '!$B$2:$E$20,4,0),0)</f>
        <v>132348.7869077592</v>
      </c>
      <c r="G17" s="60">
        <f>IFERROR(VLOOKUP(B17,'Programas Doct. Acreditados '!$B$3:$G$20,6,0),0)</f>
        <v>99165.126050420164</v>
      </c>
      <c r="H17" s="60">
        <f>IFERROR(VLOOKUP(B17,'Académicos JC '!$B$3:$E$20,4,0),0)</f>
        <v>225015.75130925202</v>
      </c>
      <c r="I17" s="60">
        <f>IFERROR(VLOOKUP(B17,'Matrícula Regular Pre '!B15:E32,4,0),0)</f>
        <v>211876.53379156152</v>
      </c>
      <c r="J17" s="322">
        <f t="shared" si="0"/>
        <v>958054.79500360636</v>
      </c>
      <c r="K17" s="322">
        <f t="shared" si="1"/>
        <v>958055</v>
      </c>
      <c r="L17" s="322">
        <f t="shared" si="2"/>
        <v>958054</v>
      </c>
    </row>
    <row r="18" spans="1:12" x14ac:dyDescent="0.25">
      <c r="A18" s="37" t="str">
        <f>'Indicadores (Desempeño)'!A18</f>
        <v>UNIVERSIDAD DE MAGALLANES</v>
      </c>
      <c r="B18" s="58" t="str">
        <f>'Indicadores (Desempeño)'!B18</f>
        <v>MAG</v>
      </c>
      <c r="C18" s="59" t="str">
        <f>'Indicadores (Desempeño)'!C18</f>
        <v>CRUCH-ESTATAL</v>
      </c>
      <c r="D18" s="60">
        <f>IFERROR(VLOOKUP(B18,Publicaciones!B15:E33,4,0),0)</f>
        <v>71851.222910216718</v>
      </c>
      <c r="E18" s="60">
        <f>IFERROR(VLOOKUP(B18,Acreditación!$B$3:$K$20,10,0),0)</f>
        <v>197500.41841004178</v>
      </c>
      <c r="F18" s="60">
        <f>IFERROR(VLOOKUP(B18,'Doctorado JC '!$B$2:$E$20,4,0),0)</f>
        <v>85531.528953994042</v>
      </c>
      <c r="G18" s="60">
        <f>IFERROR(VLOOKUP(B18,'Programas Doct. Acreditados '!$B$3:$G$20,6,0),0)</f>
        <v>66110.084033613442</v>
      </c>
      <c r="H18" s="60">
        <f>IFERROR(VLOOKUP(B18,'Académicos JC '!$B$3:$E$20,4,0),0)</f>
        <v>123600.20142339196</v>
      </c>
      <c r="I18" s="60">
        <f>IFERROR(VLOOKUP(B18,'Matrícula Regular Pre '!B16:E33,4,0),0)</f>
        <v>87859.209943772963</v>
      </c>
      <c r="J18" s="322">
        <f t="shared" si="0"/>
        <v>632452.6656750309</v>
      </c>
      <c r="K18" s="322">
        <f t="shared" si="1"/>
        <v>632453</v>
      </c>
      <c r="L18" s="322">
        <f t="shared" si="2"/>
        <v>632452</v>
      </c>
    </row>
    <row r="19" spans="1:12" x14ac:dyDescent="0.25">
      <c r="A19" s="37" t="str">
        <f>'Indicadores (Desempeño)'!A19</f>
        <v>UNIVERSIDAD METROPOLITANA DE CS.DE LA EDUCACIÓN</v>
      </c>
      <c r="B19" s="58" t="str">
        <f>'Indicadores (Desempeño)'!B19</f>
        <v>UMC</v>
      </c>
      <c r="C19" s="59" t="str">
        <f>'Indicadores (Desempeño)'!C19</f>
        <v>CRUCH-ESTATAL</v>
      </c>
      <c r="D19" s="60">
        <f>IFERROR(VLOOKUP(B19,Publicaciones!B16:E34,4,0),0)</f>
        <v>39782.033023735814</v>
      </c>
      <c r="E19" s="60">
        <f>IFERROR(VLOOKUP(B19,Acreditación!$B$3:$K$20,10,0),0)</f>
        <v>65833.472803347249</v>
      </c>
      <c r="F19" s="60">
        <f>IFERROR(VLOOKUP(B19,'Doctorado JC '!$B$2:$E$20,4,0),0)</f>
        <v>82830.533302815296</v>
      </c>
      <c r="G19" s="60">
        <f>IFERROR(VLOOKUP(B19,'Programas Doct. Acreditados '!$B$3:$G$20,6,0),0)</f>
        <v>33055.042016806721</v>
      </c>
      <c r="H19" s="60">
        <f>IFERROR(VLOOKUP(B19,'Académicos JC '!$B$3:$E$20,4,0),0)</f>
        <v>120430.96548945885</v>
      </c>
      <c r="I19" s="60">
        <f>IFERROR(VLOOKUP(B19,'Matrícula Regular Pre '!B17:E34,4,0),0)</f>
        <v>83331.282374817369</v>
      </c>
      <c r="J19" s="322">
        <f t="shared" si="0"/>
        <v>425263.32901098131</v>
      </c>
      <c r="K19" s="322">
        <f t="shared" si="1"/>
        <v>425263</v>
      </c>
      <c r="L19" s="322">
        <f t="shared" si="2"/>
        <v>425263</v>
      </c>
    </row>
    <row r="20" spans="1:12" x14ac:dyDescent="0.25">
      <c r="A20" s="37" t="str">
        <f>'Indicadores (Desempeño)'!A20</f>
        <v>UNIVERSIDAD TECNOLÓGICA METROPOLITANA</v>
      </c>
      <c r="B20" s="58" t="str">
        <f>'Indicadores (Desempeño)'!B20</f>
        <v>UTM</v>
      </c>
      <c r="C20" s="59" t="str">
        <f>'Indicadores (Desempeño)'!C20</f>
        <v>CRUCH-ESTATAL</v>
      </c>
      <c r="D20" s="60">
        <f>IFERROR(VLOOKUP(B20,Publicaciones!B17:E35,4,0),0)</f>
        <v>93365.995872033032</v>
      </c>
      <c r="E20" s="60">
        <f>IFERROR(VLOOKUP(B20,Acreditación!$B$3:$K$20,10,0),0)</f>
        <v>65833.472803347249</v>
      </c>
      <c r="F20" s="60">
        <f>IFERROR(VLOOKUP(B20,'Doctorado JC '!$B$2:$E$20,4,0),0)</f>
        <v>135049.78255893799</v>
      </c>
      <c r="G20" s="60">
        <f>IFERROR(VLOOKUP(B20,'Programas Doct. Acreditados '!$B$3:$G$20,6,0),0)</f>
        <v>66110.084033613442</v>
      </c>
      <c r="H20" s="60">
        <f>IFERROR(VLOOKUP(B20,'Académicos JC '!$B$3:$E$20,4,0),0)</f>
        <v>132051.49724721364</v>
      </c>
      <c r="I20" s="60">
        <f>IFERROR(VLOOKUP(B20,'Matrícula Regular Pre '!B18:E35,4,0),0)</f>
        <v>172148.32315048479</v>
      </c>
      <c r="J20" s="322">
        <f t="shared" si="0"/>
        <v>664559.15566563013</v>
      </c>
      <c r="K20" s="322">
        <f t="shared" si="1"/>
        <v>664559</v>
      </c>
      <c r="L20" s="322">
        <f t="shared" si="2"/>
        <v>664559</v>
      </c>
    </row>
    <row r="21" spans="1:12" x14ac:dyDescent="0.25">
      <c r="A21" s="37" t="s">
        <v>88</v>
      </c>
      <c r="B21" s="58" t="s">
        <v>89</v>
      </c>
      <c r="C21" s="59" t="s">
        <v>22</v>
      </c>
      <c r="D21" s="60">
        <f>IFERROR(VLOOKUP(B21,Publicaciones!B18:E36,4,0),0)</f>
        <v>85247.213622291019</v>
      </c>
      <c r="E21" s="60">
        <f>IFERROR(VLOOKUP(B21,Acreditación!$B$3:$K$20,10,0),0)</f>
        <v>181042.05020920496</v>
      </c>
      <c r="F21" s="60">
        <f>IFERROR(VLOOKUP(B21,'Doctorado JC '!$B$2:$E$20,4,0),0)</f>
        <v>104438.49851224537</v>
      </c>
      <c r="G21" s="60">
        <f>IFERROR(VLOOKUP(B21,'Programas Doct. Acreditados '!$B$3:$G$20,6,0),0)</f>
        <v>0</v>
      </c>
      <c r="H21" s="60">
        <f>IFERROR(VLOOKUP(B21,'Académicos JC '!$B$3:$E$20,4,0),0)</f>
        <v>93492.460051027258</v>
      </c>
      <c r="I21" s="60">
        <f>IFERROR(VLOOKUP(B21,'Matrícula Regular Pre '!B19:E36,4,0),0)</f>
        <v>161263.88187895692</v>
      </c>
      <c r="J21" s="322">
        <f t="shared" si="0"/>
        <v>625484.10427372553</v>
      </c>
      <c r="K21" s="322">
        <f t="shared" si="1"/>
        <v>625484</v>
      </c>
      <c r="L21" s="322">
        <f t="shared" si="2"/>
        <v>625484</v>
      </c>
    </row>
    <row r="22" spans="1:12" x14ac:dyDescent="0.25">
      <c r="A22" s="37" t="s">
        <v>90</v>
      </c>
      <c r="B22" s="58" t="s">
        <v>91</v>
      </c>
      <c r="C22" s="59" t="s">
        <v>22</v>
      </c>
      <c r="D22" s="60">
        <f>IFERROR(VLOOKUP(B22,Publicaciones!B19:E37,4,0),0)</f>
        <v>11366.295149638803</v>
      </c>
      <c r="E22" s="60">
        <f>IFERROR(VLOOKUP(B22,Acreditación!$B$3:$K$20,10,0),0)</f>
        <v>49375.104602510437</v>
      </c>
      <c r="F22" s="60">
        <f>IFERROR(VLOOKUP(B22,'Doctorado JC '!$B$2:$E$20,4,0),0)</f>
        <v>22508.297093156329</v>
      </c>
      <c r="G22" s="60">
        <f>IFERROR(VLOOKUP(B22,'Programas Doct. Acreditados '!$B$3:$G$20,6,0),0)</f>
        <v>0</v>
      </c>
      <c r="H22" s="60">
        <f>IFERROR(VLOOKUP(B22,'Académicos JC '!$B$3:$E$20,4,0),0)</f>
        <v>25882.093460453874</v>
      </c>
      <c r="I22" s="60">
        <f>IFERROR(VLOOKUP(B22,'Matrícula Regular Pre '!B20:E37,4,0),0)</f>
        <v>14411.0002435029</v>
      </c>
      <c r="J22" s="322">
        <f t="shared" si="0"/>
        <v>123542.79054926235</v>
      </c>
      <c r="K22" s="322">
        <f t="shared" si="1"/>
        <v>123543</v>
      </c>
      <c r="L22" s="322">
        <f t="shared" si="2"/>
        <v>123542</v>
      </c>
    </row>
    <row r="23" spans="1:12" ht="15.75" thickBot="1" x14ac:dyDescent="0.3">
      <c r="A23" s="316" t="s">
        <v>139</v>
      </c>
      <c r="B23" s="317"/>
      <c r="C23" s="318"/>
      <c r="D23" s="319">
        <f t="shared" ref="D23:L23" si="3">SUM(D5:D22)</f>
        <v>3933550</v>
      </c>
      <c r="E23" s="319">
        <f t="shared" si="3"/>
        <v>3933549.9999999991</v>
      </c>
      <c r="F23" s="319">
        <f t="shared" si="3"/>
        <v>3933550</v>
      </c>
      <c r="G23" s="319">
        <f t="shared" si="3"/>
        <v>3933549.9999999995</v>
      </c>
      <c r="H23" s="319">
        <f t="shared" si="3"/>
        <v>3933549.9999999986</v>
      </c>
      <c r="I23" s="319">
        <f t="shared" si="3"/>
        <v>3933549.9999999991</v>
      </c>
      <c r="J23" s="320">
        <f t="shared" si="3"/>
        <v>23601300</v>
      </c>
      <c r="K23" s="320">
        <f t="shared" si="3"/>
        <v>23601300</v>
      </c>
      <c r="L23" s="320">
        <f t="shared" si="3"/>
        <v>23601291</v>
      </c>
    </row>
    <row r="24" spans="1:12" s="151" customFormat="1" x14ac:dyDescent="0.25">
      <c r="J24" s="323">
        <f>'Montos AIUE 2025'!H38-J23</f>
        <v>0</v>
      </c>
      <c r="K24" s="324">
        <f>'Montos AIUE 2025'!H38-K23</f>
        <v>0</v>
      </c>
      <c r="L24" s="323">
        <f>'Montos AIUE 2025'!H38-L23</f>
        <v>9</v>
      </c>
    </row>
  </sheetData>
  <mergeCells count="1">
    <mergeCell ref="D3:L3"/>
  </mergeCells>
  <pageMargins left="0.31496062992125984" right="0.31496062992125984" top="0.35433070866141736" bottom="0.35433070866141736" header="0.31496062992125984" footer="0.31496062992125984"/>
  <pageSetup paperSize="14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2:E24"/>
  <sheetViews>
    <sheetView workbookViewId="0">
      <selection activeCell="D2" sqref="D2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44" t="s">
        <v>11</v>
      </c>
      <c r="B2" s="45" t="s">
        <v>1</v>
      </c>
      <c r="C2" s="45" t="s">
        <v>395</v>
      </c>
      <c r="D2" s="45" t="s">
        <v>99</v>
      </c>
      <c r="E2" s="45" t="s">
        <v>100</v>
      </c>
    </row>
    <row r="3" spans="1:5" x14ac:dyDescent="0.25">
      <c r="A3" s="37" t="s">
        <v>12</v>
      </c>
      <c r="B3" s="37" t="s">
        <v>2</v>
      </c>
      <c r="C3" s="280">
        <v>3237</v>
      </c>
      <c r="D3" s="42">
        <f>C3/$C$21</f>
        <v>0.33405572755417956</v>
      </c>
      <c r="E3" s="43">
        <f>$B$24*D3</f>
        <v>1314024.9071207431</v>
      </c>
    </row>
    <row r="4" spans="1:5" x14ac:dyDescent="0.25">
      <c r="A4" s="37" t="s">
        <v>13</v>
      </c>
      <c r="B4" s="37" t="s">
        <v>3</v>
      </c>
      <c r="C4" s="280">
        <v>954</v>
      </c>
      <c r="D4" s="42">
        <f t="shared" ref="D4:D20" si="0">C4/$C$21</f>
        <v>9.845201238390093E-2</v>
      </c>
      <c r="E4" s="43">
        <f t="shared" ref="E4:E20" si="1">$B$24*D4</f>
        <v>387265.91331269348</v>
      </c>
    </row>
    <row r="5" spans="1:5" x14ac:dyDescent="0.25">
      <c r="A5" s="37" t="s">
        <v>19</v>
      </c>
      <c r="B5" s="37" t="s">
        <v>9</v>
      </c>
      <c r="C5" s="280">
        <v>313</v>
      </c>
      <c r="D5" s="42">
        <f t="shared" si="0"/>
        <v>3.2301341589267285E-2</v>
      </c>
      <c r="E5" s="43">
        <f t="shared" si="1"/>
        <v>127058.94220846232</v>
      </c>
    </row>
    <row r="6" spans="1:5" x14ac:dyDescent="0.25">
      <c r="A6" s="37" t="s">
        <v>16</v>
      </c>
      <c r="B6" s="37" t="s">
        <v>6</v>
      </c>
      <c r="C6" s="280">
        <v>917</v>
      </c>
      <c r="D6" s="42">
        <f t="shared" si="0"/>
        <v>9.4633642930856549E-2</v>
      </c>
      <c r="E6" s="43">
        <f t="shared" si="1"/>
        <v>372246.16615067079</v>
      </c>
    </row>
    <row r="7" spans="1:5" x14ac:dyDescent="0.25">
      <c r="A7" s="37" t="s">
        <v>15</v>
      </c>
      <c r="B7" s="37" t="s">
        <v>5</v>
      </c>
      <c r="C7" s="280">
        <v>648</v>
      </c>
      <c r="D7" s="42">
        <f t="shared" si="0"/>
        <v>6.6873065015479877E-2</v>
      </c>
      <c r="E7" s="43">
        <f t="shared" si="1"/>
        <v>263048.54489164089</v>
      </c>
    </row>
    <row r="8" spans="1:5" x14ac:dyDescent="0.25">
      <c r="A8" s="37" t="s">
        <v>20</v>
      </c>
      <c r="B8" s="37" t="s">
        <v>10</v>
      </c>
      <c r="C8" s="280">
        <v>791</v>
      </c>
      <c r="D8" s="42">
        <f t="shared" si="0"/>
        <v>8.1630546955624356E-2</v>
      </c>
      <c r="E8" s="43">
        <f t="shared" si="1"/>
        <v>321097.83797729621</v>
      </c>
    </row>
    <row r="9" spans="1:5" x14ac:dyDescent="0.25">
      <c r="A9" s="37" t="s">
        <v>14</v>
      </c>
      <c r="B9" s="37" t="s">
        <v>4</v>
      </c>
      <c r="C9" s="280">
        <v>605</v>
      </c>
      <c r="D9" s="42">
        <f t="shared" si="0"/>
        <v>6.2435500515995869E-2</v>
      </c>
      <c r="E9" s="43">
        <f t="shared" si="1"/>
        <v>245593.16305469556</v>
      </c>
    </row>
    <row r="10" spans="1:5" x14ac:dyDescent="0.25">
      <c r="A10" s="37" t="s">
        <v>18</v>
      </c>
      <c r="B10" s="37" t="s">
        <v>8</v>
      </c>
      <c r="C10" s="280">
        <v>400</v>
      </c>
      <c r="D10" s="42">
        <f t="shared" si="0"/>
        <v>4.1279669762641899E-2</v>
      </c>
      <c r="E10" s="43">
        <f t="shared" si="1"/>
        <v>162375.64499484006</v>
      </c>
    </row>
    <row r="11" spans="1:5" x14ac:dyDescent="0.25">
      <c r="A11" s="37" t="s">
        <v>17</v>
      </c>
      <c r="B11" s="37" t="s">
        <v>7</v>
      </c>
      <c r="C11" s="280">
        <v>341</v>
      </c>
      <c r="D11" s="42">
        <f t="shared" si="0"/>
        <v>3.5190918472652218E-2</v>
      </c>
      <c r="E11" s="43">
        <f t="shared" si="1"/>
        <v>138425.23735810112</v>
      </c>
    </row>
    <row r="12" spans="1:5" x14ac:dyDescent="0.25">
      <c r="A12" s="37" t="s">
        <v>34</v>
      </c>
      <c r="B12" s="37" t="s">
        <v>27</v>
      </c>
      <c r="C12" s="280">
        <v>151</v>
      </c>
      <c r="D12" s="42">
        <f t="shared" si="0"/>
        <v>1.5583075335397318E-2</v>
      </c>
      <c r="E12" s="43">
        <f t="shared" si="1"/>
        <v>61296.805985552121</v>
      </c>
    </row>
    <row r="13" spans="1:5" x14ac:dyDescent="0.25">
      <c r="A13" s="37" t="s">
        <v>30</v>
      </c>
      <c r="B13" s="37" t="s">
        <v>23</v>
      </c>
      <c r="C13" s="280">
        <v>150</v>
      </c>
      <c r="D13" s="42">
        <f t="shared" si="0"/>
        <v>1.5479876160990712E-2</v>
      </c>
      <c r="E13" s="43">
        <f t="shared" si="1"/>
        <v>60890.866873065017</v>
      </c>
    </row>
    <row r="14" spans="1:5" x14ac:dyDescent="0.25">
      <c r="A14" s="37" t="s">
        <v>31</v>
      </c>
      <c r="B14" s="37" t="s">
        <v>24</v>
      </c>
      <c r="C14" s="280">
        <v>213</v>
      </c>
      <c r="D14" s="42">
        <f t="shared" si="0"/>
        <v>2.198142414860681E-2</v>
      </c>
      <c r="E14" s="43">
        <f t="shared" si="1"/>
        <v>86465.030959752316</v>
      </c>
    </row>
    <row r="15" spans="1:5" x14ac:dyDescent="0.25">
      <c r="A15" s="37" t="s">
        <v>32</v>
      </c>
      <c r="B15" s="37" t="s">
        <v>25</v>
      </c>
      <c r="C15" s="280">
        <v>227</v>
      </c>
      <c r="D15" s="42">
        <f t="shared" si="0"/>
        <v>2.3426212590299277E-2</v>
      </c>
      <c r="E15" s="43">
        <f t="shared" si="1"/>
        <v>92148.178534571722</v>
      </c>
    </row>
    <row r="16" spans="1:5" x14ac:dyDescent="0.25">
      <c r="A16" s="37" t="s">
        <v>33</v>
      </c>
      <c r="B16" s="37" t="s">
        <v>26</v>
      </c>
      <c r="C16" s="280">
        <v>177</v>
      </c>
      <c r="D16" s="42">
        <f t="shared" si="0"/>
        <v>1.8266253869969041E-2</v>
      </c>
      <c r="E16" s="43">
        <f t="shared" si="1"/>
        <v>71851.222910216718</v>
      </c>
    </row>
    <row r="17" spans="1:5" x14ac:dyDescent="0.25">
      <c r="A17" s="37" t="s">
        <v>35</v>
      </c>
      <c r="B17" s="37" t="s">
        <v>28</v>
      </c>
      <c r="C17" s="280">
        <v>98</v>
      </c>
      <c r="D17" s="42">
        <f t="shared" si="0"/>
        <v>1.0113519091847266E-2</v>
      </c>
      <c r="E17" s="43">
        <f t="shared" si="1"/>
        <v>39782.033023735814</v>
      </c>
    </row>
    <row r="18" spans="1:5" x14ac:dyDescent="0.25">
      <c r="A18" s="37" t="s">
        <v>36</v>
      </c>
      <c r="B18" s="37" t="s">
        <v>29</v>
      </c>
      <c r="C18" s="280">
        <v>230</v>
      </c>
      <c r="D18" s="42">
        <f t="shared" si="0"/>
        <v>2.3735810113519093E-2</v>
      </c>
      <c r="E18" s="43">
        <f t="shared" si="1"/>
        <v>93365.995872033032</v>
      </c>
    </row>
    <row r="19" spans="1:5" x14ac:dyDescent="0.25">
      <c r="A19" s="37" t="s">
        <v>88</v>
      </c>
      <c r="B19" s="37" t="s">
        <v>89</v>
      </c>
      <c r="C19" s="280">
        <v>210</v>
      </c>
      <c r="D19" s="42">
        <f t="shared" si="0"/>
        <v>2.1671826625386997E-2</v>
      </c>
      <c r="E19" s="43">
        <f t="shared" si="1"/>
        <v>85247.213622291019</v>
      </c>
    </row>
    <row r="20" spans="1:5" x14ac:dyDescent="0.25">
      <c r="A20" s="37" t="s">
        <v>90</v>
      </c>
      <c r="B20" s="37" t="s">
        <v>91</v>
      </c>
      <c r="C20" s="280">
        <v>28</v>
      </c>
      <c r="D20" s="42">
        <f t="shared" si="0"/>
        <v>2.8895768833849329E-3</v>
      </c>
      <c r="E20" s="43">
        <f t="shared" si="1"/>
        <v>11366.295149638803</v>
      </c>
    </row>
    <row r="21" spans="1:5" x14ac:dyDescent="0.25">
      <c r="C21" s="36">
        <f>SUM(C3:C20)</f>
        <v>9690</v>
      </c>
      <c r="D21" s="51">
        <f>SUM(D3:D20)</f>
        <v>0.99999999999999989</v>
      </c>
      <c r="E21" s="52">
        <f>SUM(E3:E20)</f>
        <v>3933550</v>
      </c>
    </row>
    <row r="24" spans="1:5" x14ac:dyDescent="0.25">
      <c r="A24" t="s">
        <v>101</v>
      </c>
      <c r="B24" s="5">
        <f>'Montos AIUE 2025'!H38/6</f>
        <v>3933550</v>
      </c>
    </row>
  </sheetData>
  <phoneticPr fontId="37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2:K24"/>
  <sheetViews>
    <sheetView workbookViewId="0">
      <selection activeCell="E21" sqref="E21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49" t="s">
        <v>11</v>
      </c>
      <c r="B2" s="50" t="s">
        <v>1</v>
      </c>
      <c r="C2" s="45" t="s">
        <v>411</v>
      </c>
      <c r="D2" s="45" t="s">
        <v>412</v>
      </c>
      <c r="E2" s="45" t="s">
        <v>413</v>
      </c>
      <c r="F2" s="45" t="s">
        <v>111</v>
      </c>
      <c r="G2" s="45" t="s">
        <v>112</v>
      </c>
      <c r="H2" s="45" t="s">
        <v>113</v>
      </c>
      <c r="I2" s="45" t="s">
        <v>114</v>
      </c>
      <c r="J2" s="45" t="s">
        <v>116</v>
      </c>
      <c r="K2" s="45" t="s">
        <v>115</v>
      </c>
    </row>
    <row r="3" spans="1:11" x14ac:dyDescent="0.25">
      <c r="A3" s="37" t="s">
        <v>12</v>
      </c>
      <c r="B3" s="37" t="s">
        <v>2</v>
      </c>
      <c r="C3" s="46">
        <v>1</v>
      </c>
      <c r="D3" s="46">
        <v>1</v>
      </c>
      <c r="E3" s="46">
        <v>7</v>
      </c>
      <c r="F3" s="46">
        <f>C3*100</f>
        <v>100</v>
      </c>
      <c r="G3" s="46">
        <f>D3*100</f>
        <v>100</v>
      </c>
      <c r="H3" s="46">
        <f>E3/7*100</f>
        <v>100</v>
      </c>
      <c r="I3" s="46">
        <f>F3+G3+H3</f>
        <v>300</v>
      </c>
      <c r="J3" s="47">
        <f>I3/$I$21</f>
        <v>8.7866108786610844E-2</v>
      </c>
      <c r="K3" s="48">
        <f>J3*$B$24</f>
        <v>345625.7322175731</v>
      </c>
    </row>
    <row r="4" spans="1:11" x14ac:dyDescent="0.25">
      <c r="A4" s="37" t="s">
        <v>13</v>
      </c>
      <c r="B4" s="37" t="s">
        <v>3</v>
      </c>
      <c r="C4" s="46">
        <v>1</v>
      </c>
      <c r="D4" s="46">
        <v>1</v>
      </c>
      <c r="E4" s="46">
        <v>7</v>
      </c>
      <c r="F4" s="46">
        <f t="shared" ref="F4:F20" si="0">C4*100</f>
        <v>100</v>
      </c>
      <c r="G4" s="46">
        <f t="shared" ref="G4:G20" si="1">D4*100</f>
        <v>100</v>
      </c>
      <c r="H4" s="46">
        <f t="shared" ref="H4:H20" si="2">E4/7*100</f>
        <v>100</v>
      </c>
      <c r="I4" s="46">
        <f t="shared" ref="I4:I20" si="3">F4+G4+H4</f>
        <v>300</v>
      </c>
      <c r="J4" s="47">
        <f t="shared" ref="J4:J20" si="4">I4/$I$21</f>
        <v>8.7866108786610844E-2</v>
      </c>
      <c r="K4" s="48">
        <f t="shared" ref="K4:K20" si="5">J4*$B$24</f>
        <v>345625.7322175731</v>
      </c>
    </row>
    <row r="5" spans="1:11" x14ac:dyDescent="0.25">
      <c r="A5" s="37" t="s">
        <v>19</v>
      </c>
      <c r="B5" s="37" t="s">
        <v>9</v>
      </c>
      <c r="C5" s="46">
        <v>1</v>
      </c>
      <c r="D5" s="46">
        <v>1</v>
      </c>
      <c r="E5" s="46">
        <v>5</v>
      </c>
      <c r="F5" s="46">
        <f t="shared" si="0"/>
        <v>100</v>
      </c>
      <c r="G5" s="46">
        <f t="shared" si="1"/>
        <v>100</v>
      </c>
      <c r="H5" s="46">
        <f t="shared" si="2"/>
        <v>71.428571428571431</v>
      </c>
      <c r="I5" s="46">
        <f t="shared" si="3"/>
        <v>271.42857142857144</v>
      </c>
      <c r="J5" s="47">
        <f t="shared" si="4"/>
        <v>7.9497907949790766E-2</v>
      </c>
      <c r="K5" s="48">
        <f t="shared" si="5"/>
        <v>312708.99581589946</v>
      </c>
    </row>
    <row r="6" spans="1:11" x14ac:dyDescent="0.25">
      <c r="A6" s="37" t="s">
        <v>16</v>
      </c>
      <c r="B6" s="37" t="s">
        <v>6</v>
      </c>
      <c r="C6" s="46">
        <v>1</v>
      </c>
      <c r="D6" s="46">
        <v>1</v>
      </c>
      <c r="E6" s="46">
        <v>6</v>
      </c>
      <c r="F6" s="46">
        <f t="shared" si="0"/>
        <v>100</v>
      </c>
      <c r="G6" s="46">
        <f t="shared" si="1"/>
        <v>100</v>
      </c>
      <c r="H6" s="46">
        <f t="shared" si="2"/>
        <v>85.714285714285708</v>
      </c>
      <c r="I6" s="46">
        <f t="shared" si="3"/>
        <v>285.71428571428572</v>
      </c>
      <c r="J6" s="47">
        <f t="shared" si="4"/>
        <v>8.3682008368200805E-2</v>
      </c>
      <c r="K6" s="48">
        <f t="shared" si="5"/>
        <v>329167.36401673628</v>
      </c>
    </row>
    <row r="7" spans="1:11" x14ac:dyDescent="0.25">
      <c r="A7" s="37" t="s">
        <v>15</v>
      </c>
      <c r="B7" s="37" t="s">
        <v>5</v>
      </c>
      <c r="C7" s="46">
        <v>1</v>
      </c>
      <c r="D7" s="46">
        <v>1</v>
      </c>
      <c r="E7" s="46">
        <v>6</v>
      </c>
      <c r="F7" s="46">
        <f t="shared" si="0"/>
        <v>100</v>
      </c>
      <c r="G7" s="46">
        <f t="shared" si="1"/>
        <v>100</v>
      </c>
      <c r="H7" s="46">
        <f t="shared" si="2"/>
        <v>85.714285714285708</v>
      </c>
      <c r="I7" s="46">
        <f t="shared" si="3"/>
        <v>285.71428571428572</v>
      </c>
      <c r="J7" s="47">
        <f t="shared" si="4"/>
        <v>8.3682008368200805E-2</v>
      </c>
      <c r="K7" s="48">
        <f t="shared" si="5"/>
        <v>329167.36401673628</v>
      </c>
    </row>
    <row r="8" spans="1:11" x14ac:dyDescent="0.25">
      <c r="A8" s="37" t="s">
        <v>20</v>
      </c>
      <c r="B8" s="37" t="s">
        <v>10</v>
      </c>
      <c r="C8" s="46">
        <v>1</v>
      </c>
      <c r="D8" s="46">
        <v>1</v>
      </c>
      <c r="E8" s="46">
        <v>6</v>
      </c>
      <c r="F8" s="46">
        <f t="shared" si="0"/>
        <v>100</v>
      </c>
      <c r="G8" s="46">
        <f t="shared" si="1"/>
        <v>100</v>
      </c>
      <c r="H8" s="46">
        <f t="shared" si="2"/>
        <v>85.714285714285708</v>
      </c>
      <c r="I8" s="46">
        <f t="shared" si="3"/>
        <v>285.71428571428572</v>
      </c>
      <c r="J8" s="47">
        <f t="shared" si="4"/>
        <v>8.3682008368200805E-2</v>
      </c>
      <c r="K8" s="48">
        <f t="shared" si="5"/>
        <v>329167.36401673628</v>
      </c>
    </row>
    <row r="9" spans="1:11" x14ac:dyDescent="0.25">
      <c r="A9" s="37" t="s">
        <v>14</v>
      </c>
      <c r="B9" s="37" t="s">
        <v>4</v>
      </c>
      <c r="C9" s="46">
        <v>1</v>
      </c>
      <c r="D9" s="46">
        <v>1</v>
      </c>
      <c r="E9" s="46">
        <v>6</v>
      </c>
      <c r="F9" s="46">
        <f t="shared" si="0"/>
        <v>100</v>
      </c>
      <c r="G9" s="46">
        <f t="shared" si="1"/>
        <v>100</v>
      </c>
      <c r="H9" s="46">
        <f t="shared" si="2"/>
        <v>85.714285714285708</v>
      </c>
      <c r="I9" s="46">
        <f t="shared" si="3"/>
        <v>285.71428571428572</v>
      </c>
      <c r="J9" s="47">
        <f t="shared" si="4"/>
        <v>8.3682008368200805E-2</v>
      </c>
      <c r="K9" s="48">
        <f t="shared" si="5"/>
        <v>329167.36401673628</v>
      </c>
    </row>
    <row r="10" spans="1:11" x14ac:dyDescent="0.25">
      <c r="A10" s="37" t="s">
        <v>18</v>
      </c>
      <c r="B10" s="37" t="s">
        <v>8</v>
      </c>
      <c r="C10" s="46">
        <v>1</v>
      </c>
      <c r="D10" s="46">
        <v>1</v>
      </c>
      <c r="E10" s="46">
        <v>5</v>
      </c>
      <c r="F10" s="46">
        <f t="shared" si="0"/>
        <v>100</v>
      </c>
      <c r="G10" s="46">
        <f t="shared" si="1"/>
        <v>100</v>
      </c>
      <c r="H10" s="46">
        <f t="shared" si="2"/>
        <v>71.428571428571431</v>
      </c>
      <c r="I10" s="46">
        <f t="shared" si="3"/>
        <v>271.42857142857144</v>
      </c>
      <c r="J10" s="47">
        <f t="shared" si="4"/>
        <v>7.9497907949790766E-2</v>
      </c>
      <c r="K10" s="48">
        <f t="shared" si="5"/>
        <v>312708.99581589946</v>
      </c>
    </row>
    <row r="11" spans="1:11" x14ac:dyDescent="0.25">
      <c r="A11" s="37" t="s">
        <v>17</v>
      </c>
      <c r="B11" s="37" t="s">
        <v>7</v>
      </c>
      <c r="C11" s="46">
        <v>1</v>
      </c>
      <c r="D11" s="46">
        <v>0</v>
      </c>
      <c r="E11" s="46">
        <v>5</v>
      </c>
      <c r="F11" s="46">
        <f t="shared" si="0"/>
        <v>100</v>
      </c>
      <c r="G11" s="46">
        <f t="shared" si="1"/>
        <v>0</v>
      </c>
      <c r="H11" s="46">
        <f t="shared" si="2"/>
        <v>71.428571428571431</v>
      </c>
      <c r="I11" s="46">
        <f t="shared" si="3"/>
        <v>171.42857142857144</v>
      </c>
      <c r="J11" s="47">
        <f t="shared" si="4"/>
        <v>5.0209205020920487E-2</v>
      </c>
      <c r="K11" s="48">
        <f t="shared" si="5"/>
        <v>197500.41841004178</v>
      </c>
    </row>
    <row r="12" spans="1:11" x14ac:dyDescent="0.25">
      <c r="A12" s="37" t="s">
        <v>109</v>
      </c>
      <c r="B12" s="37" t="s">
        <v>27</v>
      </c>
      <c r="C12" s="46">
        <v>0</v>
      </c>
      <c r="D12" s="46">
        <v>0</v>
      </c>
      <c r="E12" s="46">
        <v>5</v>
      </c>
      <c r="F12" s="46">
        <f t="shared" si="0"/>
        <v>0</v>
      </c>
      <c r="G12" s="46">
        <f t="shared" si="1"/>
        <v>0</v>
      </c>
      <c r="H12" s="46">
        <f t="shared" si="2"/>
        <v>71.428571428571431</v>
      </c>
      <c r="I12" s="46">
        <f t="shared" si="3"/>
        <v>71.428571428571431</v>
      </c>
      <c r="J12" s="47">
        <f t="shared" si="4"/>
        <v>2.0920502092050201E-2</v>
      </c>
      <c r="K12" s="48">
        <f t="shared" si="5"/>
        <v>82291.841004184069</v>
      </c>
    </row>
    <row r="13" spans="1:11" x14ac:dyDescent="0.25">
      <c r="A13" s="37" t="s">
        <v>30</v>
      </c>
      <c r="B13" s="37" t="s">
        <v>23</v>
      </c>
      <c r="C13" s="46">
        <v>0</v>
      </c>
      <c r="D13" s="46">
        <v>0</v>
      </c>
      <c r="E13" s="46">
        <v>5</v>
      </c>
      <c r="F13" s="46">
        <f t="shared" si="0"/>
        <v>0</v>
      </c>
      <c r="G13" s="46">
        <f t="shared" si="1"/>
        <v>0</v>
      </c>
      <c r="H13" s="46">
        <f t="shared" si="2"/>
        <v>71.428571428571431</v>
      </c>
      <c r="I13" s="46">
        <f t="shared" si="3"/>
        <v>71.428571428571431</v>
      </c>
      <c r="J13" s="47">
        <f t="shared" si="4"/>
        <v>2.0920502092050201E-2</v>
      </c>
      <c r="K13" s="48">
        <f t="shared" si="5"/>
        <v>82291.841004184069</v>
      </c>
    </row>
    <row r="14" spans="1:11" x14ac:dyDescent="0.25">
      <c r="A14" s="37" t="s">
        <v>31</v>
      </c>
      <c r="B14" s="37" t="s">
        <v>24</v>
      </c>
      <c r="C14" s="46">
        <v>1</v>
      </c>
      <c r="D14" s="46">
        <v>0</v>
      </c>
      <c r="E14" s="46">
        <v>4</v>
      </c>
      <c r="F14" s="46">
        <f t="shared" si="0"/>
        <v>100</v>
      </c>
      <c r="G14" s="46">
        <f t="shared" si="1"/>
        <v>0</v>
      </c>
      <c r="H14" s="46">
        <f t="shared" si="2"/>
        <v>57.142857142857139</v>
      </c>
      <c r="I14" s="46">
        <f t="shared" si="3"/>
        <v>157.14285714285714</v>
      </c>
      <c r="J14" s="47">
        <f t="shared" si="4"/>
        <v>4.6025104602510442E-2</v>
      </c>
      <c r="K14" s="48">
        <f t="shared" si="5"/>
        <v>181042.05020920496</v>
      </c>
    </row>
    <row r="15" spans="1:11" x14ac:dyDescent="0.25">
      <c r="A15" s="37" t="s">
        <v>32</v>
      </c>
      <c r="B15" s="37" t="s">
        <v>25</v>
      </c>
      <c r="C15" s="46">
        <v>1</v>
      </c>
      <c r="D15" s="46">
        <v>0</v>
      </c>
      <c r="E15" s="46">
        <v>5</v>
      </c>
      <c r="F15" s="46">
        <f t="shared" si="0"/>
        <v>100</v>
      </c>
      <c r="G15" s="46">
        <f t="shared" si="1"/>
        <v>0</v>
      </c>
      <c r="H15" s="46">
        <f t="shared" si="2"/>
        <v>71.428571428571431</v>
      </c>
      <c r="I15" s="46">
        <f t="shared" si="3"/>
        <v>171.42857142857144</v>
      </c>
      <c r="J15" s="47">
        <f t="shared" si="4"/>
        <v>5.0209205020920487E-2</v>
      </c>
      <c r="K15" s="48">
        <f t="shared" si="5"/>
        <v>197500.41841004178</v>
      </c>
    </row>
    <row r="16" spans="1:11" x14ac:dyDescent="0.25">
      <c r="A16" s="37" t="s">
        <v>33</v>
      </c>
      <c r="B16" s="37" t="s">
        <v>26</v>
      </c>
      <c r="C16" s="46">
        <v>1</v>
      </c>
      <c r="D16" s="46">
        <v>0</v>
      </c>
      <c r="E16" s="46">
        <v>5</v>
      </c>
      <c r="F16" s="46">
        <f t="shared" si="0"/>
        <v>100</v>
      </c>
      <c r="G16" s="46">
        <f t="shared" si="1"/>
        <v>0</v>
      </c>
      <c r="H16" s="46">
        <f t="shared" si="2"/>
        <v>71.428571428571431</v>
      </c>
      <c r="I16" s="46">
        <f t="shared" si="3"/>
        <v>171.42857142857144</v>
      </c>
      <c r="J16" s="47">
        <f t="shared" si="4"/>
        <v>5.0209205020920487E-2</v>
      </c>
      <c r="K16" s="48">
        <f t="shared" si="5"/>
        <v>197500.41841004178</v>
      </c>
    </row>
    <row r="17" spans="1:11" x14ac:dyDescent="0.25">
      <c r="A17" s="37" t="s">
        <v>110</v>
      </c>
      <c r="B17" s="37" t="s">
        <v>28</v>
      </c>
      <c r="C17" s="46">
        <v>0</v>
      </c>
      <c r="D17" s="46">
        <v>0</v>
      </c>
      <c r="E17" s="46">
        <v>4</v>
      </c>
      <c r="F17" s="46">
        <f t="shared" si="0"/>
        <v>0</v>
      </c>
      <c r="G17" s="46">
        <f t="shared" si="1"/>
        <v>0</v>
      </c>
      <c r="H17" s="46">
        <f t="shared" si="2"/>
        <v>57.142857142857139</v>
      </c>
      <c r="I17" s="46">
        <f t="shared" si="3"/>
        <v>57.142857142857139</v>
      </c>
      <c r="J17" s="47">
        <f t="shared" si="4"/>
        <v>1.6736401673640159E-2</v>
      </c>
      <c r="K17" s="48">
        <f t="shared" si="5"/>
        <v>65833.472803347249</v>
      </c>
    </row>
    <row r="18" spans="1:11" x14ac:dyDescent="0.25">
      <c r="A18" s="37" t="s">
        <v>36</v>
      </c>
      <c r="B18" s="37" t="s">
        <v>29</v>
      </c>
      <c r="C18" s="46">
        <v>0</v>
      </c>
      <c r="D18" s="46">
        <v>0</v>
      </c>
      <c r="E18" s="46">
        <v>4</v>
      </c>
      <c r="F18" s="46">
        <f t="shared" si="0"/>
        <v>0</v>
      </c>
      <c r="G18" s="46">
        <f t="shared" si="1"/>
        <v>0</v>
      </c>
      <c r="H18" s="46">
        <f t="shared" si="2"/>
        <v>57.142857142857139</v>
      </c>
      <c r="I18" s="46">
        <f t="shared" si="3"/>
        <v>57.142857142857139</v>
      </c>
      <c r="J18" s="47">
        <f t="shared" si="4"/>
        <v>1.6736401673640159E-2</v>
      </c>
      <c r="K18" s="48">
        <f t="shared" si="5"/>
        <v>65833.472803347249</v>
      </c>
    </row>
    <row r="19" spans="1:11" x14ac:dyDescent="0.25">
      <c r="A19" s="37" t="s">
        <v>88</v>
      </c>
      <c r="B19" s="37" t="s">
        <v>89</v>
      </c>
      <c r="C19" s="46">
        <v>1</v>
      </c>
      <c r="D19" s="46">
        <v>0</v>
      </c>
      <c r="E19" s="46">
        <v>4</v>
      </c>
      <c r="F19" s="46">
        <f t="shared" si="0"/>
        <v>100</v>
      </c>
      <c r="G19" s="46">
        <f t="shared" si="1"/>
        <v>0</v>
      </c>
      <c r="H19" s="46">
        <f t="shared" si="2"/>
        <v>57.142857142857139</v>
      </c>
      <c r="I19" s="46">
        <f t="shared" si="3"/>
        <v>157.14285714285714</v>
      </c>
      <c r="J19" s="47">
        <f t="shared" si="4"/>
        <v>4.6025104602510442E-2</v>
      </c>
      <c r="K19" s="48">
        <f t="shared" si="5"/>
        <v>181042.05020920496</v>
      </c>
    </row>
    <row r="20" spans="1:11" x14ac:dyDescent="0.25">
      <c r="A20" s="37" t="s">
        <v>90</v>
      </c>
      <c r="B20" s="37" t="s">
        <v>91</v>
      </c>
      <c r="C20" s="46">
        <v>0</v>
      </c>
      <c r="D20" s="46">
        <v>0</v>
      </c>
      <c r="E20" s="46">
        <v>3</v>
      </c>
      <c r="F20" s="46">
        <f t="shared" si="0"/>
        <v>0</v>
      </c>
      <c r="G20" s="46">
        <f t="shared" si="1"/>
        <v>0</v>
      </c>
      <c r="H20" s="46">
        <f t="shared" si="2"/>
        <v>42.857142857142854</v>
      </c>
      <c r="I20" s="46">
        <f t="shared" si="3"/>
        <v>42.857142857142854</v>
      </c>
      <c r="J20" s="47">
        <f t="shared" si="4"/>
        <v>1.255230125523012E-2</v>
      </c>
      <c r="K20" s="48">
        <f t="shared" si="5"/>
        <v>49375.104602510437</v>
      </c>
    </row>
    <row r="21" spans="1:11" x14ac:dyDescent="0.25">
      <c r="C21" s="53">
        <f t="shared" ref="C21:K21" si="6">SUM(C3:C20)</f>
        <v>13</v>
      </c>
      <c r="D21" s="53">
        <f t="shared" si="6"/>
        <v>8</v>
      </c>
      <c r="E21" s="53">
        <f t="shared" si="6"/>
        <v>92</v>
      </c>
      <c r="F21" s="53">
        <f t="shared" si="6"/>
        <v>1300</v>
      </c>
      <c r="G21" s="53">
        <f t="shared" si="6"/>
        <v>800</v>
      </c>
      <c r="H21" s="53">
        <f t="shared" si="6"/>
        <v>1314.285714285714</v>
      </c>
      <c r="I21" s="53">
        <f t="shared" si="6"/>
        <v>3414.2857142857156</v>
      </c>
      <c r="J21" s="53">
        <f t="shared" si="6"/>
        <v>0.99999999999999978</v>
      </c>
      <c r="K21" s="53">
        <f t="shared" si="6"/>
        <v>3933549.9999999991</v>
      </c>
    </row>
    <row r="22" spans="1:11" x14ac:dyDescent="0.25">
      <c r="C22" t="s">
        <v>148</v>
      </c>
      <c r="D22" t="s">
        <v>148</v>
      </c>
      <c r="E22" t="s">
        <v>148</v>
      </c>
      <c r="F22" t="s">
        <v>149</v>
      </c>
      <c r="G22" t="s">
        <v>150</v>
      </c>
      <c r="H22" t="s">
        <v>151</v>
      </c>
      <c r="I22" t="s">
        <v>152</v>
      </c>
      <c r="J22" t="s">
        <v>154</v>
      </c>
      <c r="K22" t="s">
        <v>155</v>
      </c>
    </row>
    <row r="23" spans="1:11" x14ac:dyDescent="0.25">
      <c r="I23" t="s">
        <v>153</v>
      </c>
    </row>
    <row r="24" spans="1:11" x14ac:dyDescent="0.25">
      <c r="A24" t="s">
        <v>123</v>
      </c>
      <c r="B24" s="5">
        <f>'Montos AIUE 2025'!H38/6</f>
        <v>3933550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6" tint="0.59999389629810485"/>
  </sheetPr>
  <dimension ref="A2:E24"/>
  <sheetViews>
    <sheetView workbookViewId="0">
      <selection activeCell="C3" sqref="C3"/>
    </sheetView>
  </sheetViews>
  <sheetFormatPr baseColWidth="10" defaultRowHeight="15" x14ac:dyDescent="0.25"/>
  <cols>
    <col min="1" max="1" width="50" bestFit="1" customWidth="1"/>
    <col min="5" max="5" width="12.140625" bestFit="1" customWidth="1"/>
    <col min="8" max="8" width="11.85546875" bestFit="1" customWidth="1"/>
  </cols>
  <sheetData>
    <row r="2" spans="1:5" ht="25.5" x14ac:dyDescent="0.25">
      <c r="A2" s="44" t="s">
        <v>11</v>
      </c>
      <c r="B2" s="45" t="s">
        <v>1</v>
      </c>
      <c r="C2" s="45" t="s">
        <v>396</v>
      </c>
      <c r="D2" s="45" t="s">
        <v>116</v>
      </c>
      <c r="E2" s="45" t="s">
        <v>115</v>
      </c>
    </row>
    <row r="3" spans="1:5" x14ac:dyDescent="0.25">
      <c r="A3" s="37" t="s">
        <v>12</v>
      </c>
      <c r="B3" s="37" t="s">
        <v>2</v>
      </c>
      <c r="C3" s="283">
        <v>1225</v>
      </c>
      <c r="D3" s="47">
        <f>C3/$C$21</f>
        <v>0.28038452735179675</v>
      </c>
      <c r="E3" s="54">
        <f>D3*$B$24</f>
        <v>1102906.5575646602</v>
      </c>
    </row>
    <row r="4" spans="1:5" x14ac:dyDescent="0.25">
      <c r="A4" s="37" t="s">
        <v>13</v>
      </c>
      <c r="B4" s="37" t="s">
        <v>3</v>
      </c>
      <c r="C4" s="283">
        <v>496</v>
      </c>
      <c r="D4" s="47">
        <f t="shared" ref="D4:D20" si="0">C4/$C$21</f>
        <v>0.11352712291142138</v>
      </c>
      <c r="E4" s="54">
        <f t="shared" ref="E4:E20" si="1">D4*$B$24</f>
        <v>446564.61432822153</v>
      </c>
    </row>
    <row r="5" spans="1:5" x14ac:dyDescent="0.25">
      <c r="A5" s="37" t="s">
        <v>19</v>
      </c>
      <c r="B5" s="37" t="s">
        <v>9</v>
      </c>
      <c r="C5" s="283">
        <v>147</v>
      </c>
      <c r="D5" s="47">
        <f t="shared" si="0"/>
        <v>3.3646143282215608E-2</v>
      </c>
      <c r="E5" s="54">
        <f t="shared" si="1"/>
        <v>132348.7869077592</v>
      </c>
    </row>
    <row r="6" spans="1:5" x14ac:dyDescent="0.25">
      <c r="A6" s="37" t="s">
        <v>16</v>
      </c>
      <c r="B6" s="37" t="s">
        <v>6</v>
      </c>
      <c r="C6" s="283">
        <v>333</v>
      </c>
      <c r="D6" s="47">
        <f t="shared" si="0"/>
        <v>7.6218814373998633E-2</v>
      </c>
      <c r="E6" s="54">
        <f t="shared" si="1"/>
        <v>299810.51728084235</v>
      </c>
    </row>
    <row r="7" spans="1:5" x14ac:dyDescent="0.25">
      <c r="A7" s="37" t="s">
        <v>15</v>
      </c>
      <c r="B7" s="37" t="s">
        <v>5</v>
      </c>
      <c r="C7" s="283">
        <v>265</v>
      </c>
      <c r="D7" s="47">
        <f t="shared" si="0"/>
        <v>6.0654612039368276E-2</v>
      </c>
      <c r="E7" s="54">
        <f t="shared" si="1"/>
        <v>238587.9491874571</v>
      </c>
    </row>
    <row r="8" spans="1:5" x14ac:dyDescent="0.25">
      <c r="A8" s="37" t="s">
        <v>117</v>
      </c>
      <c r="B8" s="37" t="s">
        <v>10</v>
      </c>
      <c r="C8" s="283">
        <v>220</v>
      </c>
      <c r="D8" s="47">
        <f t="shared" si="0"/>
        <v>5.0354772259098193E-2</v>
      </c>
      <c r="E8" s="54">
        <f t="shared" si="1"/>
        <v>198073.01441977569</v>
      </c>
    </row>
    <row r="9" spans="1:5" x14ac:dyDescent="0.25">
      <c r="A9" s="37" t="s">
        <v>118</v>
      </c>
      <c r="B9" s="37" t="s">
        <v>4</v>
      </c>
      <c r="C9" s="283">
        <v>324</v>
      </c>
      <c r="D9" s="47">
        <f t="shared" si="0"/>
        <v>7.415884641794461E-2</v>
      </c>
      <c r="E9" s="54">
        <f t="shared" si="1"/>
        <v>291707.53032730601</v>
      </c>
    </row>
    <row r="10" spans="1:5" x14ac:dyDescent="0.25">
      <c r="A10" s="37" t="s">
        <v>119</v>
      </c>
      <c r="B10" s="37" t="s">
        <v>8</v>
      </c>
      <c r="C10" s="283">
        <v>285</v>
      </c>
      <c r="D10" s="47">
        <f t="shared" si="0"/>
        <v>6.5232318608377207E-2</v>
      </c>
      <c r="E10" s="54">
        <f t="shared" si="1"/>
        <v>256594.58686198216</v>
      </c>
    </row>
    <row r="11" spans="1:5" x14ac:dyDescent="0.25">
      <c r="A11" s="37" t="s">
        <v>17</v>
      </c>
      <c r="B11" s="37" t="s">
        <v>7</v>
      </c>
      <c r="C11" s="283">
        <v>115</v>
      </c>
      <c r="D11" s="47">
        <f t="shared" si="0"/>
        <v>2.6321812771801328E-2</v>
      </c>
      <c r="E11" s="54">
        <f t="shared" si="1"/>
        <v>103538.16662851912</v>
      </c>
    </row>
    <row r="12" spans="1:5" x14ac:dyDescent="0.25">
      <c r="A12" s="37" t="s">
        <v>120</v>
      </c>
      <c r="B12" s="37" t="s">
        <v>27</v>
      </c>
      <c r="C12" s="283">
        <v>154</v>
      </c>
      <c r="D12" s="47">
        <f t="shared" si="0"/>
        <v>3.5248340581368734E-2</v>
      </c>
      <c r="E12" s="54">
        <f t="shared" si="1"/>
        <v>138651.11009384299</v>
      </c>
    </row>
    <row r="13" spans="1:5" x14ac:dyDescent="0.25">
      <c r="A13" s="37" t="s">
        <v>30</v>
      </c>
      <c r="B13" s="37" t="s">
        <v>23</v>
      </c>
      <c r="C13" s="283">
        <v>82</v>
      </c>
      <c r="D13" s="47">
        <f t="shared" si="0"/>
        <v>1.8768596932936598E-2</v>
      </c>
      <c r="E13" s="54">
        <f t="shared" si="1"/>
        <v>73827.214465552752</v>
      </c>
    </row>
    <row r="14" spans="1:5" x14ac:dyDescent="0.25">
      <c r="A14" s="37" t="s">
        <v>31</v>
      </c>
      <c r="B14" s="37" t="s">
        <v>24</v>
      </c>
      <c r="C14" s="283">
        <v>98</v>
      </c>
      <c r="D14" s="47">
        <f t="shared" si="0"/>
        <v>2.243076218814374E-2</v>
      </c>
      <c r="E14" s="54">
        <f t="shared" si="1"/>
        <v>88232.524605172803</v>
      </c>
    </row>
    <row r="15" spans="1:5" x14ac:dyDescent="0.25">
      <c r="A15" s="37" t="s">
        <v>32</v>
      </c>
      <c r="B15" s="37" t="s">
        <v>25</v>
      </c>
      <c r="C15" s="283">
        <v>147</v>
      </c>
      <c r="D15" s="47">
        <f t="shared" si="0"/>
        <v>3.3646143282215608E-2</v>
      </c>
      <c r="E15" s="54">
        <f t="shared" si="1"/>
        <v>132348.7869077592</v>
      </c>
    </row>
    <row r="16" spans="1:5" x14ac:dyDescent="0.25">
      <c r="A16" s="37" t="s">
        <v>33</v>
      </c>
      <c r="B16" s="37" t="s">
        <v>26</v>
      </c>
      <c r="C16" s="283">
        <v>95</v>
      </c>
      <c r="D16" s="47">
        <f t="shared" si="0"/>
        <v>2.17441062027924E-2</v>
      </c>
      <c r="E16" s="54">
        <f t="shared" si="1"/>
        <v>85531.528953994042</v>
      </c>
    </row>
    <row r="17" spans="1:5" x14ac:dyDescent="0.25">
      <c r="A17" s="37" t="s">
        <v>121</v>
      </c>
      <c r="B17" s="37" t="s">
        <v>28</v>
      </c>
      <c r="C17" s="283">
        <v>92</v>
      </c>
      <c r="D17" s="47">
        <f t="shared" si="0"/>
        <v>2.1057450217441064E-2</v>
      </c>
      <c r="E17" s="54">
        <f t="shared" si="1"/>
        <v>82830.533302815296</v>
      </c>
    </row>
    <row r="18" spans="1:5" x14ac:dyDescent="0.25">
      <c r="A18" s="37" t="s">
        <v>122</v>
      </c>
      <c r="B18" s="37" t="s">
        <v>29</v>
      </c>
      <c r="C18" s="283">
        <v>150</v>
      </c>
      <c r="D18" s="47">
        <f t="shared" si="0"/>
        <v>3.4332799267566952E-2</v>
      </c>
      <c r="E18" s="54">
        <f t="shared" si="1"/>
        <v>135049.78255893799</v>
      </c>
    </row>
    <row r="19" spans="1:5" x14ac:dyDescent="0.25">
      <c r="A19" s="37" t="s">
        <v>126</v>
      </c>
      <c r="B19" s="37" t="s">
        <v>89</v>
      </c>
      <c r="C19" s="283">
        <v>116</v>
      </c>
      <c r="D19" s="47">
        <f t="shared" si="0"/>
        <v>2.6550698100251773E-2</v>
      </c>
      <c r="E19" s="54">
        <f t="shared" si="1"/>
        <v>104438.49851224537</v>
      </c>
    </row>
    <row r="20" spans="1:5" x14ac:dyDescent="0.25">
      <c r="A20" s="37" t="s">
        <v>127</v>
      </c>
      <c r="B20" s="37" t="s">
        <v>91</v>
      </c>
      <c r="C20" s="283">
        <v>25</v>
      </c>
      <c r="D20" s="47">
        <f t="shared" si="0"/>
        <v>5.7221332112611578E-3</v>
      </c>
      <c r="E20" s="54">
        <f t="shared" si="1"/>
        <v>22508.297093156329</v>
      </c>
    </row>
    <row r="21" spans="1:5" x14ac:dyDescent="0.25">
      <c r="C21" s="356">
        <f>SUM(C3:C20)</f>
        <v>4369</v>
      </c>
      <c r="D21" s="357">
        <f>SUM(D3:D20)</f>
        <v>1.0000000000000002</v>
      </c>
      <c r="E21" s="356">
        <f>SUM(E3:E20)</f>
        <v>3933550</v>
      </c>
    </row>
    <row r="22" spans="1:5" x14ac:dyDescent="0.25">
      <c r="C22" t="s">
        <v>156</v>
      </c>
      <c r="D22" t="s">
        <v>158</v>
      </c>
      <c r="E22" t="s">
        <v>159</v>
      </c>
    </row>
    <row r="23" spans="1:5" x14ac:dyDescent="0.25">
      <c r="C23" t="s">
        <v>157</v>
      </c>
    </row>
    <row r="24" spans="1:5" x14ac:dyDescent="0.25">
      <c r="A24" t="s">
        <v>124</v>
      </c>
      <c r="B24" s="5">
        <f>'Montos AIUE 2025'!H38/6</f>
        <v>3933550</v>
      </c>
    </row>
  </sheetData>
  <autoFilter ref="A2:C20" xr:uid="{8ABAA2A2-4EA5-4CA7-A3F1-190DB176F36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6" tint="0.59999389629810485"/>
  </sheetPr>
  <dimension ref="A2:G24"/>
  <sheetViews>
    <sheetView workbookViewId="0">
      <selection activeCell="C3" sqref="C3:E20"/>
    </sheetView>
  </sheetViews>
  <sheetFormatPr baseColWidth="10" defaultRowHeight="15" x14ac:dyDescent="0.25"/>
  <cols>
    <col min="1" max="1" width="50" bestFit="1" customWidth="1"/>
    <col min="7" max="7" width="13.140625" bestFit="1" customWidth="1"/>
  </cols>
  <sheetData>
    <row r="2" spans="1:7" ht="76.5" x14ac:dyDescent="0.25">
      <c r="A2" s="44" t="s">
        <v>11</v>
      </c>
      <c r="B2" s="45" t="s">
        <v>1</v>
      </c>
      <c r="C2" s="45" t="s">
        <v>414</v>
      </c>
      <c r="D2" s="45" t="s">
        <v>415</v>
      </c>
      <c r="E2" s="45" t="s">
        <v>125</v>
      </c>
      <c r="F2" s="45" t="s">
        <v>116</v>
      </c>
      <c r="G2" s="45" t="s">
        <v>115</v>
      </c>
    </row>
    <row r="3" spans="1:7" x14ac:dyDescent="0.25">
      <c r="A3" s="37" t="s">
        <v>12</v>
      </c>
      <c r="B3" s="55" t="s">
        <v>2</v>
      </c>
      <c r="C3" s="55">
        <v>39</v>
      </c>
      <c r="D3" s="55">
        <v>3</v>
      </c>
      <c r="E3" s="55">
        <v>42</v>
      </c>
      <c r="F3" s="47">
        <f>E3/$E$21</f>
        <v>0.35294117647058826</v>
      </c>
      <c r="G3" s="54">
        <f>F3*$B$24</f>
        <v>1388311.7647058824</v>
      </c>
    </row>
    <row r="4" spans="1:7" x14ac:dyDescent="0.25">
      <c r="A4" s="37" t="s">
        <v>13</v>
      </c>
      <c r="B4" s="55" t="s">
        <v>3</v>
      </c>
      <c r="C4" s="55">
        <v>13</v>
      </c>
      <c r="D4" s="55">
        <v>1</v>
      </c>
      <c r="E4" s="55">
        <v>14</v>
      </c>
      <c r="F4" s="47">
        <f t="shared" ref="F4:F20" si="0">E4/$E$21</f>
        <v>0.11764705882352941</v>
      </c>
      <c r="G4" s="54">
        <f t="shared" ref="G4:G20" si="1">F4*$B$24</f>
        <v>462770.5882352941</v>
      </c>
    </row>
    <row r="5" spans="1:7" x14ac:dyDescent="0.25">
      <c r="A5" s="37" t="s">
        <v>19</v>
      </c>
      <c r="B5" s="55" t="s">
        <v>9</v>
      </c>
      <c r="C5" s="55">
        <v>5</v>
      </c>
      <c r="D5" s="55">
        <v>0</v>
      </c>
      <c r="E5" s="55">
        <v>5</v>
      </c>
      <c r="F5" s="47">
        <f t="shared" si="0"/>
        <v>4.2016806722689079E-2</v>
      </c>
      <c r="G5" s="54">
        <f t="shared" si="1"/>
        <v>165275.21008403364</v>
      </c>
    </row>
    <row r="6" spans="1:7" x14ac:dyDescent="0.25">
      <c r="A6" s="37" t="s">
        <v>16</v>
      </c>
      <c r="B6" s="55" t="s">
        <v>6</v>
      </c>
      <c r="C6" s="55">
        <v>9</v>
      </c>
      <c r="D6" s="55">
        <v>0</v>
      </c>
      <c r="E6" s="55">
        <v>9</v>
      </c>
      <c r="F6" s="47">
        <f t="shared" si="0"/>
        <v>7.5630252100840331E-2</v>
      </c>
      <c r="G6" s="54">
        <f t="shared" si="1"/>
        <v>297495.37815126049</v>
      </c>
    </row>
    <row r="7" spans="1:7" x14ac:dyDescent="0.25">
      <c r="A7" s="37" t="s">
        <v>15</v>
      </c>
      <c r="B7" s="55" t="s">
        <v>5</v>
      </c>
      <c r="C7" s="55">
        <v>11</v>
      </c>
      <c r="D7" s="55">
        <v>0</v>
      </c>
      <c r="E7" s="55">
        <v>11</v>
      </c>
      <c r="F7" s="47">
        <f t="shared" si="0"/>
        <v>9.2436974789915971E-2</v>
      </c>
      <c r="G7" s="54">
        <f t="shared" si="1"/>
        <v>363605.46218487399</v>
      </c>
    </row>
    <row r="8" spans="1:7" x14ac:dyDescent="0.25">
      <c r="A8" s="37" t="s">
        <v>117</v>
      </c>
      <c r="B8" s="55" t="s">
        <v>10</v>
      </c>
      <c r="C8" s="55">
        <v>4</v>
      </c>
      <c r="D8" s="55">
        <v>2</v>
      </c>
      <c r="E8" s="55">
        <v>6</v>
      </c>
      <c r="F8" s="47">
        <f t="shared" si="0"/>
        <v>5.0420168067226892E-2</v>
      </c>
      <c r="G8" s="54">
        <f t="shared" si="1"/>
        <v>198330.25210084033</v>
      </c>
    </row>
    <row r="9" spans="1:7" x14ac:dyDescent="0.25">
      <c r="A9" s="37" t="s">
        <v>118</v>
      </c>
      <c r="B9" s="55" t="s">
        <v>4</v>
      </c>
      <c r="C9" s="55">
        <v>8</v>
      </c>
      <c r="D9" s="55">
        <v>2</v>
      </c>
      <c r="E9" s="55">
        <v>10</v>
      </c>
      <c r="F9" s="47">
        <f t="shared" si="0"/>
        <v>8.4033613445378158E-2</v>
      </c>
      <c r="G9" s="54">
        <f t="shared" si="1"/>
        <v>330550.42016806727</v>
      </c>
    </row>
    <row r="10" spans="1:7" x14ac:dyDescent="0.25">
      <c r="A10" s="37" t="s">
        <v>119</v>
      </c>
      <c r="B10" s="55" t="s">
        <v>8</v>
      </c>
      <c r="C10" s="55">
        <v>5</v>
      </c>
      <c r="D10" s="55">
        <v>0</v>
      </c>
      <c r="E10" s="55">
        <v>5</v>
      </c>
      <c r="F10" s="47">
        <f t="shared" si="0"/>
        <v>4.2016806722689079E-2</v>
      </c>
      <c r="G10" s="54">
        <f t="shared" si="1"/>
        <v>165275.21008403364</v>
      </c>
    </row>
    <row r="11" spans="1:7" x14ac:dyDescent="0.25">
      <c r="A11" s="37" t="s">
        <v>17</v>
      </c>
      <c r="B11" s="55" t="s">
        <v>7</v>
      </c>
      <c r="C11" s="55">
        <v>4</v>
      </c>
      <c r="D11" s="55">
        <v>1</v>
      </c>
      <c r="E11" s="55">
        <v>5</v>
      </c>
      <c r="F11" s="47">
        <f t="shared" si="0"/>
        <v>4.2016806722689079E-2</v>
      </c>
      <c r="G11" s="54">
        <f t="shared" si="1"/>
        <v>165275.21008403364</v>
      </c>
    </row>
    <row r="12" spans="1:7" x14ac:dyDescent="0.25">
      <c r="A12" s="37" t="s">
        <v>120</v>
      </c>
      <c r="B12" s="55" t="s">
        <v>27</v>
      </c>
      <c r="C12" s="55">
        <v>2</v>
      </c>
      <c r="D12" s="55">
        <v>0</v>
      </c>
      <c r="E12" s="55">
        <v>2</v>
      </c>
      <c r="F12" s="47">
        <f t="shared" si="0"/>
        <v>1.680672268907563E-2</v>
      </c>
      <c r="G12" s="54">
        <f t="shared" si="1"/>
        <v>66110.084033613442</v>
      </c>
    </row>
    <row r="13" spans="1:7" x14ac:dyDescent="0.25">
      <c r="A13" s="37" t="s">
        <v>30</v>
      </c>
      <c r="B13" s="55" t="s">
        <v>23</v>
      </c>
      <c r="C13" s="55">
        <v>1</v>
      </c>
      <c r="D13" s="55">
        <v>0</v>
      </c>
      <c r="E13" s="55">
        <v>1</v>
      </c>
      <c r="F13" s="47">
        <f t="shared" si="0"/>
        <v>8.4033613445378148E-3</v>
      </c>
      <c r="G13" s="54">
        <f t="shared" si="1"/>
        <v>33055.042016806721</v>
      </c>
    </row>
    <row r="14" spans="1:7" x14ac:dyDescent="0.25">
      <c r="A14" s="37" t="s">
        <v>31</v>
      </c>
      <c r="B14" s="55" t="s">
        <v>24</v>
      </c>
      <c r="C14" s="55">
        <v>1</v>
      </c>
      <c r="D14" s="55">
        <v>0</v>
      </c>
      <c r="E14" s="55">
        <v>1</v>
      </c>
      <c r="F14" s="47">
        <f t="shared" si="0"/>
        <v>8.4033613445378148E-3</v>
      </c>
      <c r="G14" s="54">
        <f t="shared" si="1"/>
        <v>33055.042016806721</v>
      </c>
    </row>
    <row r="15" spans="1:7" x14ac:dyDescent="0.25">
      <c r="A15" s="37" t="s">
        <v>32</v>
      </c>
      <c r="B15" s="55" t="s">
        <v>25</v>
      </c>
      <c r="C15" s="55">
        <v>3</v>
      </c>
      <c r="D15" s="55">
        <v>0</v>
      </c>
      <c r="E15" s="55">
        <v>3</v>
      </c>
      <c r="F15" s="47">
        <f t="shared" si="0"/>
        <v>2.5210084033613446E-2</v>
      </c>
      <c r="G15" s="54">
        <f t="shared" si="1"/>
        <v>99165.126050420164</v>
      </c>
    </row>
    <row r="16" spans="1:7" x14ac:dyDescent="0.25">
      <c r="A16" s="37" t="s">
        <v>33</v>
      </c>
      <c r="B16" s="55" t="s">
        <v>26</v>
      </c>
      <c r="C16" s="55">
        <v>2</v>
      </c>
      <c r="D16" s="55">
        <v>0</v>
      </c>
      <c r="E16" s="55">
        <v>2</v>
      </c>
      <c r="F16" s="47">
        <f t="shared" si="0"/>
        <v>1.680672268907563E-2</v>
      </c>
      <c r="G16" s="54">
        <f t="shared" si="1"/>
        <v>66110.084033613442</v>
      </c>
    </row>
    <row r="17" spans="1:7" x14ac:dyDescent="0.25">
      <c r="A17" s="37" t="s">
        <v>121</v>
      </c>
      <c r="B17" s="55" t="s">
        <v>28</v>
      </c>
      <c r="C17" s="55">
        <v>1</v>
      </c>
      <c r="D17" s="55">
        <v>0</v>
      </c>
      <c r="E17" s="55">
        <v>1</v>
      </c>
      <c r="F17" s="47">
        <f t="shared" si="0"/>
        <v>8.4033613445378148E-3</v>
      </c>
      <c r="G17" s="54">
        <f t="shared" si="1"/>
        <v>33055.042016806721</v>
      </c>
    </row>
    <row r="18" spans="1:7" x14ac:dyDescent="0.25">
      <c r="A18" s="37" t="s">
        <v>122</v>
      </c>
      <c r="B18" s="55" t="s">
        <v>29</v>
      </c>
      <c r="C18" s="55">
        <v>2</v>
      </c>
      <c r="D18" s="55">
        <v>0</v>
      </c>
      <c r="E18" s="55">
        <v>2</v>
      </c>
      <c r="F18" s="47">
        <f t="shared" si="0"/>
        <v>1.680672268907563E-2</v>
      </c>
      <c r="G18" s="54">
        <f t="shared" si="1"/>
        <v>66110.084033613442</v>
      </c>
    </row>
    <row r="19" spans="1:7" x14ac:dyDescent="0.25">
      <c r="A19" s="37" t="s">
        <v>88</v>
      </c>
      <c r="B19" s="55" t="s">
        <v>89</v>
      </c>
      <c r="C19" s="55">
        <v>0</v>
      </c>
      <c r="D19" s="55">
        <v>0</v>
      </c>
      <c r="E19" s="55">
        <v>0</v>
      </c>
      <c r="F19" s="47">
        <f t="shared" si="0"/>
        <v>0</v>
      </c>
      <c r="G19" s="54">
        <f t="shared" si="1"/>
        <v>0</v>
      </c>
    </row>
    <row r="20" spans="1:7" x14ac:dyDescent="0.25">
      <c r="A20" s="37" t="s">
        <v>90</v>
      </c>
      <c r="B20" s="55" t="s">
        <v>91</v>
      </c>
      <c r="C20" s="55">
        <v>0</v>
      </c>
      <c r="D20" s="55">
        <v>0</v>
      </c>
      <c r="E20" s="55">
        <v>0</v>
      </c>
      <c r="F20" s="47">
        <f t="shared" si="0"/>
        <v>0</v>
      </c>
      <c r="G20" s="54">
        <f t="shared" si="1"/>
        <v>0</v>
      </c>
    </row>
    <row r="21" spans="1:7" x14ac:dyDescent="0.25">
      <c r="C21" s="359">
        <f>SUM(C3:C20)</f>
        <v>110</v>
      </c>
      <c r="D21" s="359">
        <f>SUM(D3:D20)</f>
        <v>9</v>
      </c>
      <c r="E21" s="359">
        <f>SUM(E3:E20)</f>
        <v>119</v>
      </c>
      <c r="F21" s="358">
        <f>SUM(F3:F20)</f>
        <v>1</v>
      </c>
      <c r="G21" s="356">
        <f>SUM(G3:G20)</f>
        <v>3933549.9999999995</v>
      </c>
    </row>
    <row r="22" spans="1:7" x14ac:dyDescent="0.25">
      <c r="C22" t="s">
        <v>160</v>
      </c>
      <c r="D22" t="s">
        <v>160</v>
      </c>
      <c r="E22" t="s">
        <v>161</v>
      </c>
      <c r="F22" t="s">
        <v>162</v>
      </c>
      <c r="G22" t="s">
        <v>163</v>
      </c>
    </row>
    <row r="24" spans="1:7" x14ac:dyDescent="0.25">
      <c r="A24" t="s">
        <v>124</v>
      </c>
      <c r="B24" s="5">
        <f>'Montos AIUE 2025'!H38/6</f>
        <v>3933550</v>
      </c>
      <c r="C24" s="5"/>
      <c r="D2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6" tint="0.59999389629810485"/>
  </sheetPr>
  <dimension ref="A2:E24"/>
  <sheetViews>
    <sheetView workbookViewId="0">
      <selection activeCell="H26" sqref="H26"/>
    </sheetView>
  </sheetViews>
  <sheetFormatPr baseColWidth="10" defaultRowHeight="15" x14ac:dyDescent="0.25"/>
  <cols>
    <col min="1" max="1" width="50" bestFit="1" customWidth="1"/>
    <col min="5" max="5" width="12" bestFit="1" customWidth="1"/>
    <col min="9" max="9" width="11.85546875" bestFit="1" customWidth="1"/>
  </cols>
  <sheetData>
    <row r="2" spans="1:5" ht="25.5" x14ac:dyDescent="0.25">
      <c r="A2" s="44" t="s">
        <v>11</v>
      </c>
      <c r="B2" s="45" t="s">
        <v>1</v>
      </c>
      <c r="C2" s="45" t="s">
        <v>397</v>
      </c>
      <c r="D2" s="45" t="s">
        <v>116</v>
      </c>
      <c r="E2" s="45" t="s">
        <v>115</v>
      </c>
    </row>
    <row r="3" spans="1:5" x14ac:dyDescent="0.25">
      <c r="A3" s="37" t="s">
        <v>12</v>
      </c>
      <c r="B3" s="55" t="s">
        <v>2</v>
      </c>
      <c r="C3" s="283">
        <v>1591</v>
      </c>
      <c r="D3" s="47">
        <f>C3/$C$21</f>
        <v>0.21364307774942931</v>
      </c>
      <c r="E3" s="54">
        <f>D3*$B$24</f>
        <v>840375.7284812677</v>
      </c>
    </row>
    <row r="4" spans="1:5" x14ac:dyDescent="0.25">
      <c r="A4" s="37" t="s">
        <v>13</v>
      </c>
      <c r="B4" s="55" t="s">
        <v>3</v>
      </c>
      <c r="C4" s="283">
        <v>717</v>
      </c>
      <c r="D4" s="47">
        <f t="shared" ref="D4:D20" si="0">C4/$C$21</f>
        <v>9.6280381361622133E-2</v>
      </c>
      <c r="E4" s="54">
        <f t="shared" ref="E4:E20" si="1">D4*$B$24</f>
        <v>378723.69410500873</v>
      </c>
    </row>
    <row r="5" spans="1:5" x14ac:dyDescent="0.25">
      <c r="A5" s="37" t="s">
        <v>19</v>
      </c>
      <c r="B5" s="55" t="s">
        <v>9</v>
      </c>
      <c r="C5" s="283">
        <v>400</v>
      </c>
      <c r="D5" s="47">
        <f t="shared" si="0"/>
        <v>5.3712904525312209E-2</v>
      </c>
      <c r="E5" s="54">
        <f t="shared" si="1"/>
        <v>211282.39559554184</v>
      </c>
    </row>
    <row r="6" spans="1:5" x14ac:dyDescent="0.25">
      <c r="A6" s="37" t="s">
        <v>16</v>
      </c>
      <c r="B6" s="55" t="s">
        <v>6</v>
      </c>
      <c r="C6" s="283">
        <v>429</v>
      </c>
      <c r="D6" s="47">
        <f t="shared" si="0"/>
        <v>5.7607090103397339E-2</v>
      </c>
      <c r="E6" s="54">
        <f t="shared" si="1"/>
        <v>226600.36927621861</v>
      </c>
    </row>
    <row r="7" spans="1:5" x14ac:dyDescent="0.25">
      <c r="A7" s="37" t="s">
        <v>15</v>
      </c>
      <c r="B7" s="55" t="s">
        <v>5</v>
      </c>
      <c r="C7" s="283">
        <v>483</v>
      </c>
      <c r="D7" s="47">
        <f t="shared" si="0"/>
        <v>6.4858332214314487E-2</v>
      </c>
      <c r="E7" s="54">
        <f t="shared" si="1"/>
        <v>255123.49268161674</v>
      </c>
    </row>
    <row r="8" spans="1:5" x14ac:dyDescent="0.25">
      <c r="A8" s="37" t="s">
        <v>117</v>
      </c>
      <c r="B8" s="55" t="s">
        <v>10</v>
      </c>
      <c r="C8" s="283">
        <v>351</v>
      </c>
      <c r="D8" s="47">
        <f t="shared" si="0"/>
        <v>4.7133073720961462E-2</v>
      </c>
      <c r="E8" s="54">
        <f t="shared" si="1"/>
        <v>185400.30213508796</v>
      </c>
    </row>
    <row r="9" spans="1:5" x14ac:dyDescent="0.25">
      <c r="A9" s="37" t="s">
        <v>118</v>
      </c>
      <c r="B9" s="55" t="s">
        <v>4</v>
      </c>
      <c r="C9" s="283">
        <v>584</v>
      </c>
      <c r="D9" s="47">
        <f t="shared" si="0"/>
        <v>7.8420840606955824E-2</v>
      </c>
      <c r="E9" s="54">
        <f t="shared" si="1"/>
        <v>308472.29756949109</v>
      </c>
    </row>
    <row r="10" spans="1:5" x14ac:dyDescent="0.25">
      <c r="A10" s="37" t="s">
        <v>119</v>
      </c>
      <c r="B10" s="55" t="s">
        <v>8</v>
      </c>
      <c r="C10" s="283">
        <v>443</v>
      </c>
      <c r="D10" s="47">
        <f t="shared" si="0"/>
        <v>5.9487041761783266E-2</v>
      </c>
      <c r="E10" s="54">
        <f t="shared" si="1"/>
        <v>233995.25312206257</v>
      </c>
    </row>
    <row r="11" spans="1:5" x14ac:dyDescent="0.25">
      <c r="A11" s="37" t="s">
        <v>17</v>
      </c>
      <c r="B11" s="55" t="s">
        <v>7</v>
      </c>
      <c r="C11" s="283">
        <v>207</v>
      </c>
      <c r="D11" s="47">
        <f t="shared" si="0"/>
        <v>2.7796428091849068E-2</v>
      </c>
      <c r="E11" s="54">
        <f t="shared" si="1"/>
        <v>109338.6397206929</v>
      </c>
    </row>
    <row r="12" spans="1:5" x14ac:dyDescent="0.25">
      <c r="A12" s="37" t="s">
        <v>120</v>
      </c>
      <c r="B12" s="55" t="s">
        <v>27</v>
      </c>
      <c r="C12" s="283">
        <v>326</v>
      </c>
      <c r="D12" s="47">
        <f t="shared" si="0"/>
        <v>4.377601718812945E-2</v>
      </c>
      <c r="E12" s="54">
        <f t="shared" si="1"/>
        <v>172195.1524103666</v>
      </c>
    </row>
    <row r="13" spans="1:5" x14ac:dyDescent="0.25">
      <c r="A13" s="37" t="s">
        <v>30</v>
      </c>
      <c r="B13" s="55" t="s">
        <v>23</v>
      </c>
      <c r="C13" s="283">
        <v>225</v>
      </c>
      <c r="D13" s="47">
        <f t="shared" si="0"/>
        <v>3.0213508795488116E-2</v>
      </c>
      <c r="E13" s="54">
        <f t="shared" si="1"/>
        <v>118846.34752249227</v>
      </c>
    </row>
    <row r="14" spans="1:5" x14ac:dyDescent="0.25">
      <c r="A14" s="37" t="s">
        <v>31</v>
      </c>
      <c r="B14" s="55" t="s">
        <v>24</v>
      </c>
      <c r="C14" s="283">
        <v>327</v>
      </c>
      <c r="D14" s="47">
        <f t="shared" si="0"/>
        <v>4.3910299449442726E-2</v>
      </c>
      <c r="E14" s="54">
        <f t="shared" si="1"/>
        <v>172723.35839935543</v>
      </c>
    </row>
    <row r="15" spans="1:5" x14ac:dyDescent="0.25">
      <c r="A15" s="37" t="s">
        <v>32</v>
      </c>
      <c r="B15" s="55" t="s">
        <v>25</v>
      </c>
      <c r="C15" s="283">
        <v>426</v>
      </c>
      <c r="D15" s="47">
        <f t="shared" si="0"/>
        <v>5.7204243319457497E-2</v>
      </c>
      <c r="E15" s="54">
        <f t="shared" si="1"/>
        <v>225015.75130925202</v>
      </c>
    </row>
    <row r="16" spans="1:5" x14ac:dyDescent="0.25">
      <c r="A16" s="37" t="s">
        <v>33</v>
      </c>
      <c r="B16" s="55" t="s">
        <v>26</v>
      </c>
      <c r="C16" s="283">
        <v>234</v>
      </c>
      <c r="D16" s="47">
        <f t="shared" si="0"/>
        <v>3.1422049147307639E-2</v>
      </c>
      <c r="E16" s="54">
        <f t="shared" si="1"/>
        <v>123600.20142339196</v>
      </c>
    </row>
    <row r="17" spans="1:5" x14ac:dyDescent="0.25">
      <c r="A17" s="37" t="s">
        <v>121</v>
      </c>
      <c r="B17" s="55" t="s">
        <v>28</v>
      </c>
      <c r="C17" s="283">
        <v>228</v>
      </c>
      <c r="D17" s="47">
        <f t="shared" si="0"/>
        <v>3.0616355579427958E-2</v>
      </c>
      <c r="E17" s="54">
        <f t="shared" si="1"/>
        <v>120430.96548945885</v>
      </c>
    </row>
    <row r="18" spans="1:5" x14ac:dyDescent="0.25">
      <c r="A18" s="37" t="s">
        <v>122</v>
      </c>
      <c r="B18" s="55" t="s">
        <v>29</v>
      </c>
      <c r="C18" s="283">
        <v>250</v>
      </c>
      <c r="D18" s="47">
        <f t="shared" si="0"/>
        <v>3.3570565328320132E-2</v>
      </c>
      <c r="E18" s="54">
        <f t="shared" si="1"/>
        <v>132051.49724721364</v>
      </c>
    </row>
    <row r="19" spans="1:5" x14ac:dyDescent="0.25">
      <c r="A19" s="37" t="s">
        <v>126</v>
      </c>
      <c r="B19" s="55" t="s">
        <v>89</v>
      </c>
      <c r="C19" s="283">
        <v>177</v>
      </c>
      <c r="D19" s="47">
        <f t="shared" si="0"/>
        <v>2.3767960252450652E-2</v>
      </c>
      <c r="E19" s="54">
        <f t="shared" si="1"/>
        <v>93492.460051027258</v>
      </c>
    </row>
    <row r="20" spans="1:5" x14ac:dyDescent="0.25">
      <c r="A20" s="37" t="s">
        <v>127</v>
      </c>
      <c r="B20" s="55" t="s">
        <v>91</v>
      </c>
      <c r="C20" s="283">
        <v>49</v>
      </c>
      <c r="D20" s="47">
        <f t="shared" si="0"/>
        <v>6.5798308043507449E-3</v>
      </c>
      <c r="E20" s="54">
        <f t="shared" si="1"/>
        <v>25882.093460453874</v>
      </c>
    </row>
    <row r="21" spans="1:5" x14ac:dyDescent="0.25">
      <c r="C21" s="53">
        <f>SUM(C3:C20)</f>
        <v>7447</v>
      </c>
      <c r="D21" s="358">
        <f>SUM(D3:D20)</f>
        <v>1</v>
      </c>
      <c r="E21" s="53">
        <f>SUM(E3:E20)</f>
        <v>3933549.9999999986</v>
      </c>
    </row>
    <row r="22" spans="1:5" x14ac:dyDescent="0.25">
      <c r="C22" t="s">
        <v>164</v>
      </c>
      <c r="D22" t="s">
        <v>166</v>
      </c>
      <c r="E22" t="s">
        <v>167</v>
      </c>
    </row>
    <row r="23" spans="1:5" x14ac:dyDescent="0.25">
      <c r="C23" t="s">
        <v>165</v>
      </c>
    </row>
    <row r="24" spans="1:5" x14ac:dyDescent="0.25">
      <c r="A24" t="s">
        <v>124</v>
      </c>
      <c r="B24" s="5">
        <f>'Montos AIUE 2025'!H38/6</f>
        <v>3933550</v>
      </c>
    </row>
  </sheetData>
  <autoFilter ref="A2:C20" xr:uid="{F104A81B-AC08-48F4-A852-4A21590014B4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6" tint="0.59999389629810485"/>
  </sheetPr>
  <dimension ref="A2:E24"/>
  <sheetViews>
    <sheetView workbookViewId="0">
      <selection activeCell="D21" sqref="D21"/>
    </sheetView>
  </sheetViews>
  <sheetFormatPr baseColWidth="10" defaultRowHeight="15" x14ac:dyDescent="0.25"/>
  <cols>
    <col min="1" max="1" width="50" bestFit="1" customWidth="1"/>
    <col min="7" max="7" width="55.140625" bestFit="1" customWidth="1"/>
  </cols>
  <sheetData>
    <row r="2" spans="1:5" ht="51" x14ac:dyDescent="0.25">
      <c r="A2" s="44" t="s">
        <v>11</v>
      </c>
      <c r="B2" s="45" t="s">
        <v>1</v>
      </c>
      <c r="C2" s="45" t="s">
        <v>398</v>
      </c>
      <c r="D2" s="45" t="s">
        <v>116</v>
      </c>
      <c r="E2" s="45" t="s">
        <v>115</v>
      </c>
    </row>
    <row r="3" spans="1:5" x14ac:dyDescent="0.25">
      <c r="A3" s="37" t="s">
        <v>12</v>
      </c>
      <c r="B3" s="55" t="s">
        <v>2</v>
      </c>
      <c r="C3" s="283">
        <v>33757</v>
      </c>
      <c r="D3" s="47">
        <f>C3/$C$21</f>
        <v>0.18681653163324036</v>
      </c>
      <c r="E3" s="48">
        <f>D3*$B$24</f>
        <v>734852.16800593259</v>
      </c>
    </row>
    <row r="4" spans="1:5" x14ac:dyDescent="0.25">
      <c r="A4" s="37" t="s">
        <v>13</v>
      </c>
      <c r="B4" s="55" t="s">
        <v>3</v>
      </c>
      <c r="C4" s="283">
        <v>20369</v>
      </c>
      <c r="D4" s="47">
        <f t="shared" ref="D4:D20" si="0">C4/$C$21</f>
        <v>0.1127252401824058</v>
      </c>
      <c r="E4" s="48">
        <f t="shared" ref="E4:E20" si="1">D4*$B$24</f>
        <v>443410.36851950234</v>
      </c>
    </row>
    <row r="5" spans="1:5" x14ac:dyDescent="0.25">
      <c r="A5" s="37" t="s">
        <v>19</v>
      </c>
      <c r="B5" s="55" t="s">
        <v>9</v>
      </c>
      <c r="C5" s="283">
        <v>7043</v>
      </c>
      <c r="D5" s="47">
        <f t="shared" si="0"/>
        <v>3.8977066454155045E-2</v>
      </c>
      <c r="E5" s="48">
        <f t="shared" si="1"/>
        <v>153318.23975074157</v>
      </c>
    </row>
    <row r="6" spans="1:5" x14ac:dyDescent="0.25">
      <c r="A6" s="37" t="s">
        <v>16</v>
      </c>
      <c r="B6" s="55" t="s">
        <v>6</v>
      </c>
      <c r="C6" s="283">
        <v>11257</v>
      </c>
      <c r="D6" s="47">
        <f t="shared" si="0"/>
        <v>6.2298003276220836E-2</v>
      </c>
      <c r="E6" s="48">
        <f t="shared" si="1"/>
        <v>245052.31078717846</v>
      </c>
    </row>
    <row r="7" spans="1:5" x14ac:dyDescent="0.25">
      <c r="A7" s="37" t="s">
        <v>15</v>
      </c>
      <c r="B7" s="55" t="s">
        <v>5</v>
      </c>
      <c r="C7" s="283">
        <v>10996</v>
      </c>
      <c r="D7" s="47">
        <f t="shared" si="0"/>
        <v>6.0853588347279407E-2</v>
      </c>
      <c r="E7" s="48">
        <f t="shared" si="1"/>
        <v>239370.6324434409</v>
      </c>
    </row>
    <row r="8" spans="1:5" x14ac:dyDescent="0.25">
      <c r="A8" s="37" t="s">
        <v>117</v>
      </c>
      <c r="B8" s="55" t="s">
        <v>10</v>
      </c>
      <c r="C8" s="283">
        <v>10021</v>
      </c>
      <c r="D8" s="47">
        <f t="shared" si="0"/>
        <v>5.5457785451808565E-2</v>
      </c>
      <c r="E8" s="48">
        <f t="shared" si="1"/>
        <v>218145.97196396158</v>
      </c>
    </row>
    <row r="9" spans="1:5" x14ac:dyDescent="0.25">
      <c r="A9" s="37" t="s">
        <v>118</v>
      </c>
      <c r="B9" s="55" t="s">
        <v>4</v>
      </c>
      <c r="C9" s="283">
        <v>14791</v>
      </c>
      <c r="D9" s="47">
        <f t="shared" si="0"/>
        <v>8.1855713463496696E-2</v>
      </c>
      <c r="E9" s="48">
        <f t="shared" si="1"/>
        <v>321983.54169433744</v>
      </c>
    </row>
    <row r="10" spans="1:5" x14ac:dyDescent="0.25">
      <c r="A10" s="37" t="s">
        <v>119</v>
      </c>
      <c r="B10" s="55" t="s">
        <v>8</v>
      </c>
      <c r="C10" s="283">
        <v>10667</v>
      </c>
      <c r="D10" s="47">
        <f t="shared" si="0"/>
        <v>5.9032850754858993E-2</v>
      </c>
      <c r="E10" s="48">
        <f t="shared" si="1"/>
        <v>232208.67008677559</v>
      </c>
    </row>
    <row r="11" spans="1:5" x14ac:dyDescent="0.25">
      <c r="A11" s="37" t="s">
        <v>17</v>
      </c>
      <c r="B11" s="55" t="s">
        <v>7</v>
      </c>
      <c r="C11" s="283">
        <v>7465</v>
      </c>
      <c r="D11" s="47">
        <f t="shared" si="0"/>
        <v>4.1312480630451141E-2</v>
      </c>
      <c r="E11" s="48">
        <f t="shared" si="1"/>
        <v>162504.70818391108</v>
      </c>
    </row>
    <row r="12" spans="1:5" x14ac:dyDescent="0.25">
      <c r="A12" s="37" t="s">
        <v>120</v>
      </c>
      <c r="B12" s="55" t="s">
        <v>27</v>
      </c>
      <c r="C12" s="283">
        <v>6548</v>
      </c>
      <c r="D12" s="47">
        <f t="shared" si="0"/>
        <v>3.6237658830300612E-2</v>
      </c>
      <c r="E12" s="48">
        <f t="shared" si="1"/>
        <v>142542.64289192896</v>
      </c>
    </row>
    <row r="13" spans="1:5" x14ac:dyDescent="0.25">
      <c r="A13" s="37" t="s">
        <v>30</v>
      </c>
      <c r="B13" s="55" t="s">
        <v>23</v>
      </c>
      <c r="C13" s="283">
        <v>7216</v>
      </c>
      <c r="D13" s="47">
        <f t="shared" si="0"/>
        <v>3.9934475583300127E-2</v>
      </c>
      <c r="E13" s="48">
        <f t="shared" si="1"/>
        <v>157084.25643069021</v>
      </c>
    </row>
    <row r="14" spans="1:5" x14ac:dyDescent="0.25">
      <c r="A14" s="37" t="s">
        <v>31</v>
      </c>
      <c r="B14" s="55" t="s">
        <v>24</v>
      </c>
      <c r="C14" s="283">
        <v>6991</v>
      </c>
      <c r="D14" s="47">
        <f t="shared" si="0"/>
        <v>3.8689290299729936E-2</v>
      </c>
      <c r="E14" s="48">
        <f t="shared" si="1"/>
        <v>152186.25785850268</v>
      </c>
    </row>
    <row r="15" spans="1:5" x14ac:dyDescent="0.25">
      <c r="A15" s="37" t="s">
        <v>32</v>
      </c>
      <c r="B15" s="55" t="s">
        <v>25</v>
      </c>
      <c r="C15" s="283">
        <v>9733</v>
      </c>
      <c r="D15" s="47">
        <f t="shared" si="0"/>
        <v>5.3863948288838712E-2</v>
      </c>
      <c r="E15" s="48">
        <f t="shared" si="1"/>
        <v>211876.53379156152</v>
      </c>
    </row>
    <row r="16" spans="1:5" x14ac:dyDescent="0.25">
      <c r="A16" s="37" t="s">
        <v>33</v>
      </c>
      <c r="B16" s="55" t="s">
        <v>26</v>
      </c>
      <c r="C16" s="283">
        <v>4036</v>
      </c>
      <c r="D16" s="47">
        <f t="shared" si="0"/>
        <v>2.2335856908841368E-2</v>
      </c>
      <c r="E16" s="48">
        <f t="shared" si="1"/>
        <v>87859.209943772963</v>
      </c>
    </row>
    <row r="17" spans="1:5" x14ac:dyDescent="0.25">
      <c r="A17" s="37" t="s">
        <v>121</v>
      </c>
      <c r="B17" s="55" t="s">
        <v>28</v>
      </c>
      <c r="C17" s="283">
        <v>3828</v>
      </c>
      <c r="D17" s="47">
        <f t="shared" si="0"/>
        <v>2.1184752291140922E-2</v>
      </c>
      <c r="E17" s="48">
        <f t="shared" si="1"/>
        <v>83331.282374817369</v>
      </c>
    </row>
    <row r="18" spans="1:5" x14ac:dyDescent="0.25">
      <c r="A18" s="37" t="s">
        <v>122</v>
      </c>
      <c r="B18" s="55" t="s">
        <v>29</v>
      </c>
      <c r="C18" s="283">
        <v>7908</v>
      </c>
      <c r="D18" s="47">
        <f t="shared" si="0"/>
        <v>4.3764112099880459E-2</v>
      </c>
      <c r="E18" s="48">
        <f t="shared" si="1"/>
        <v>172148.32315048479</v>
      </c>
    </row>
    <row r="19" spans="1:5" x14ac:dyDescent="0.25">
      <c r="A19" s="37" t="s">
        <v>88</v>
      </c>
      <c r="B19" s="55" t="s">
        <v>89</v>
      </c>
      <c r="C19" s="283">
        <v>7408</v>
      </c>
      <c r="D19" s="47">
        <f t="shared" si="0"/>
        <v>4.0997033691946697E-2</v>
      </c>
      <c r="E19" s="48">
        <f t="shared" si="1"/>
        <v>161263.88187895692</v>
      </c>
    </row>
    <row r="20" spans="1:5" x14ac:dyDescent="0.25">
      <c r="A20" s="37" t="s">
        <v>90</v>
      </c>
      <c r="B20" s="55" t="s">
        <v>91</v>
      </c>
      <c r="C20" s="283">
        <v>662</v>
      </c>
      <c r="D20" s="47">
        <f t="shared" si="0"/>
        <v>3.6636118121043076E-3</v>
      </c>
      <c r="E20" s="48">
        <f t="shared" si="1"/>
        <v>14411.0002435029</v>
      </c>
    </row>
    <row r="21" spans="1:5" x14ac:dyDescent="0.25">
      <c r="C21" s="53">
        <f>SUM(C3:C20)</f>
        <v>180696</v>
      </c>
      <c r="D21" s="53">
        <f>SUM(D3:D20)</f>
        <v>0.99999999999999978</v>
      </c>
      <c r="E21" s="53">
        <f>SUM(E3:E20)</f>
        <v>3933549.9999999991</v>
      </c>
    </row>
    <row r="22" spans="1:5" x14ac:dyDescent="0.25">
      <c r="C22" t="s">
        <v>168</v>
      </c>
      <c r="D22" t="s">
        <v>170</v>
      </c>
      <c r="E22" t="s">
        <v>171</v>
      </c>
    </row>
    <row r="23" spans="1:5" x14ac:dyDescent="0.25">
      <c r="C23" t="s">
        <v>169</v>
      </c>
    </row>
    <row r="24" spans="1:5" x14ac:dyDescent="0.25">
      <c r="A24" t="s">
        <v>124</v>
      </c>
      <c r="B24" s="5">
        <f>'Montos AIUE 2025'!H38/6</f>
        <v>3933550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AI85"/>
  <sheetViews>
    <sheetView zoomScaleNormal="100" workbookViewId="0">
      <pane xSplit="2" ySplit="4" topLeftCell="X5" activePane="bottomRight" state="frozen"/>
      <selection pane="topRight" activeCell="C1" sqref="C1"/>
      <selection pane="bottomLeft" activeCell="A4" sqref="A4"/>
      <selection pane="bottomRight" activeCell="AG3" sqref="AG3"/>
    </sheetView>
  </sheetViews>
  <sheetFormatPr baseColWidth="10" defaultRowHeight="15" x14ac:dyDescent="0.25"/>
  <cols>
    <col min="1" max="1" width="46.5703125" bestFit="1" customWidth="1"/>
    <col min="5" max="5" width="19.7109375" customWidth="1"/>
    <col min="8" max="8" width="11.28515625" customWidth="1"/>
    <col min="28" max="28" width="11.28515625" customWidth="1"/>
    <col min="29" max="31" width="10.7109375" customWidth="1"/>
    <col min="32" max="32" width="11.42578125" customWidth="1"/>
    <col min="33" max="35" width="10.7109375" customWidth="1"/>
    <col min="37" max="37" width="13.140625" bestFit="1" customWidth="1"/>
  </cols>
  <sheetData>
    <row r="1" spans="1:35" x14ac:dyDescent="0.25">
      <c r="A1" s="16" t="s">
        <v>141</v>
      </c>
      <c r="F1" s="3" t="s">
        <v>40</v>
      </c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  <c r="N1" s="3" t="s">
        <v>48</v>
      </c>
      <c r="O1" s="3" t="s">
        <v>84</v>
      </c>
      <c r="P1" s="3" t="s">
        <v>85</v>
      </c>
      <c r="Q1" s="20" t="s">
        <v>62</v>
      </c>
    </row>
    <row r="2" spans="1:35" x14ac:dyDescent="0.25">
      <c r="A2" s="16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>
        <v>16</v>
      </c>
      <c r="R2" s="56">
        <v>17</v>
      </c>
      <c r="S2" s="56">
        <v>18</v>
      </c>
      <c r="T2" s="56">
        <v>19</v>
      </c>
      <c r="U2" s="56">
        <v>20</v>
      </c>
      <c r="V2" s="56">
        <v>21</v>
      </c>
      <c r="W2" s="56">
        <v>22</v>
      </c>
      <c r="X2" s="56">
        <v>23</v>
      </c>
      <c r="Y2" s="56">
        <v>24</v>
      </c>
      <c r="Z2" s="56">
        <v>25</v>
      </c>
      <c r="AA2" s="56">
        <v>26</v>
      </c>
      <c r="AB2" s="56">
        <v>27</v>
      </c>
      <c r="AC2" s="56">
        <v>28</v>
      </c>
      <c r="AD2" s="56">
        <v>29</v>
      </c>
      <c r="AE2" s="56">
        <v>30</v>
      </c>
      <c r="AF2" s="56">
        <v>31</v>
      </c>
      <c r="AG2" s="56">
        <v>32</v>
      </c>
      <c r="AH2" s="56">
        <v>33</v>
      </c>
      <c r="AI2" s="56">
        <v>34</v>
      </c>
    </row>
    <row r="3" spans="1:35" ht="79.5" x14ac:dyDescent="0.25"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4" t="s">
        <v>55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49</v>
      </c>
      <c r="R3" s="4" t="s">
        <v>50</v>
      </c>
      <c r="S3" s="4" t="s">
        <v>51</v>
      </c>
      <c r="T3" s="4" t="s">
        <v>52</v>
      </c>
      <c r="U3" s="4" t="s">
        <v>53</v>
      </c>
      <c r="V3" s="4" t="s">
        <v>54</v>
      </c>
      <c r="W3" s="4" t="s">
        <v>55</v>
      </c>
      <c r="X3" s="4" t="s">
        <v>56</v>
      </c>
      <c r="Y3" s="4" t="s">
        <v>57</v>
      </c>
      <c r="Z3" s="4" t="s">
        <v>58</v>
      </c>
      <c r="AA3" s="4" t="s">
        <v>59</v>
      </c>
      <c r="AB3" s="4"/>
      <c r="AC3" s="4"/>
    </row>
    <row r="4" spans="1:35" ht="67.5" x14ac:dyDescent="0.25">
      <c r="A4" s="8" t="s">
        <v>11</v>
      </c>
      <c r="B4" s="13" t="s">
        <v>1</v>
      </c>
      <c r="C4" s="13" t="s">
        <v>21</v>
      </c>
      <c r="D4" s="14" t="s">
        <v>39</v>
      </c>
      <c r="E4" s="15" t="s">
        <v>61</v>
      </c>
      <c r="F4" s="75" t="s">
        <v>197</v>
      </c>
      <c r="G4" s="75" t="s">
        <v>198</v>
      </c>
      <c r="H4" s="75" t="s">
        <v>199</v>
      </c>
      <c r="I4" s="75" t="s">
        <v>200</v>
      </c>
      <c r="J4" s="75" t="s">
        <v>201</v>
      </c>
      <c r="K4" s="75" t="s">
        <v>202</v>
      </c>
      <c r="L4" s="75" t="s">
        <v>203</v>
      </c>
      <c r="M4" s="75" t="s">
        <v>204</v>
      </c>
      <c r="N4" s="75" t="s">
        <v>205</v>
      </c>
      <c r="O4" s="75" t="s">
        <v>206</v>
      </c>
      <c r="P4" s="75" t="s">
        <v>208</v>
      </c>
      <c r="Q4" s="12" t="s">
        <v>60</v>
      </c>
      <c r="R4" s="9" t="s">
        <v>60</v>
      </c>
      <c r="S4" s="9" t="s">
        <v>60</v>
      </c>
      <c r="T4" s="9" t="s">
        <v>60</v>
      </c>
      <c r="U4" s="9" t="s">
        <v>60</v>
      </c>
      <c r="V4" s="9" t="s">
        <v>60</v>
      </c>
      <c r="W4" s="9" t="s">
        <v>60</v>
      </c>
      <c r="X4" s="9" t="s">
        <v>60</v>
      </c>
      <c r="Y4" s="9" t="s">
        <v>60</v>
      </c>
      <c r="Z4" s="9" t="s">
        <v>60</v>
      </c>
      <c r="AA4" s="9" t="s">
        <v>60</v>
      </c>
      <c r="AB4" s="29" t="s">
        <v>63</v>
      </c>
      <c r="AC4" s="30" t="s">
        <v>81</v>
      </c>
      <c r="AD4" s="30" t="s">
        <v>64</v>
      </c>
      <c r="AE4" s="30" t="s">
        <v>80</v>
      </c>
      <c r="AF4" s="30" t="s">
        <v>82</v>
      </c>
      <c r="AG4" s="30" t="s">
        <v>83</v>
      </c>
      <c r="AH4" s="30" t="s">
        <v>286</v>
      </c>
      <c r="AI4" s="30" t="s">
        <v>79</v>
      </c>
    </row>
    <row r="5" spans="1:35" x14ac:dyDescent="0.25">
      <c r="A5" s="21" t="str">
        <f>Valores!A4</f>
        <v>UNIVERSIDAD DE CHILE</v>
      </c>
      <c r="B5" s="22" t="str">
        <f>Valores!B4</f>
        <v>UCH</v>
      </c>
      <c r="C5" s="23" t="str">
        <f>Valores!C4</f>
        <v>CRUCH-ESTATAL</v>
      </c>
      <c r="D5" s="23" t="str">
        <f>Valores!D4</f>
        <v>Categoría I</v>
      </c>
      <c r="E5" s="23" t="str">
        <f>CONCATENATE(C5,D5)</f>
        <v>CRUCH-ESTATALCategoría I</v>
      </c>
      <c r="F5" s="24">
        <f>IFERROR(Valores!E4/Valores!F4*100,0)</f>
        <v>3.4470528252532642</v>
      </c>
      <c r="G5" s="25">
        <f>IFERROR(Valores!G4/Valores!H4,0)</f>
        <v>0.57887824170634861</v>
      </c>
      <c r="H5" s="25">
        <f>IFERROR((Valores!G4+Valores!I4+Valores!J4)/(Valores!H4),0)</f>
        <v>0.85441836212663835</v>
      </c>
      <c r="I5" s="25">
        <f>IFERROR(Valores!K4/Valores!H4,0)</f>
        <v>1.4012435559403398</v>
      </c>
      <c r="J5" s="25">
        <f>IFERROR(Valores!K4/Valores!G4,0)</f>
        <v>2.4206188019952521</v>
      </c>
      <c r="K5" s="25">
        <f>IFERROR(Valores!L4/Valores!M4,0)</f>
        <v>11.461631089217295</v>
      </c>
      <c r="L5" s="25">
        <f>IFERROR(Valores!N4/Valores!O4,0)</f>
        <v>0.50959421201635735</v>
      </c>
      <c r="M5" s="25">
        <f>IFERROR(Valores!P4/Valores!Q4,0)</f>
        <v>0.89117696300016747</v>
      </c>
      <c r="N5" s="25">
        <f>IFERROR(Valores!R4/Valores!S4,0)</f>
        <v>0.8320110382890652</v>
      </c>
      <c r="O5" s="25">
        <f>IF(Valores!W4&gt;0,Valores!T4/Valores!W4,IF(AND(Valores!W4=0,OR(Valores!V4&gt;0,Valores!U4&gt;0)),0,IF(AND(Valores!V4=0,Valores!W4=0,Valores!U4=0),"NC",)))</f>
        <v>0.12676056338028169</v>
      </c>
      <c r="P5" s="26">
        <f>IFERROR((Valores!X4+Valores!Y4)*1000/(Valores!H4),0)</f>
        <v>2.1644169847703734</v>
      </c>
      <c r="Q5" s="27">
        <f t="array" ref="Q5">F5/MAX(IF($E$5:$E$26=$E5,F$5:F$26))</f>
        <v>0.78860831769721973</v>
      </c>
      <c r="R5" s="27">
        <f t="array" ref="R5">G5/MAX(IF($E$5:$E$26=$E5,G$5:G$26))</f>
        <v>1</v>
      </c>
      <c r="S5" s="27">
        <f t="array" ref="S5">H5/MAX(IF($E$5:$E$26=$E5,H$5:H$26))</f>
        <v>0.8823724494207813</v>
      </c>
      <c r="T5" s="27">
        <f t="array" ref="T5">I5/MAX(IF($E$5:$E$26=$E5,I$5:I$26))</f>
        <v>1</v>
      </c>
      <c r="U5" s="27">
        <f t="array" ref="U5">J5/MAX(IF($E$5:$E$26=$E5,J$5:J$26))</f>
        <v>1</v>
      </c>
      <c r="V5" s="27">
        <f t="array" ref="V5">K5/MAX(IF($E$5:$E$26=$E5,K$5:K$26))</f>
        <v>1</v>
      </c>
      <c r="W5" s="27">
        <f t="array" ref="W5">L5/MAX(IF($E$5:$E$26=$E5,L$5:L$26))</f>
        <v>0.64756790953164955</v>
      </c>
      <c r="X5" s="27">
        <f t="array" ref="X5">M5/MAX(IF($E$5:$E$26=$E5,M$5:M$26))</f>
        <v>1</v>
      </c>
      <c r="Y5" s="27">
        <f t="array" ref="Y5">N5/MAX(IF($E$5:$E$26=$E5,N$5:N$26))</f>
        <v>1</v>
      </c>
      <c r="Z5" s="27">
        <f t="array" ref="Z5">IF(O5="NC","NC",IF(O5=0,0,IF(O5&gt;0,O5/MAX(IF($E$5:$E$26=$E5,$O$5:$O$26,"ERROR")))))</f>
        <v>0.61888980944490468</v>
      </c>
      <c r="AA5" s="28">
        <f t="array" ref="AA5">IF(P5=0,0,P5/MAX(IF($E$5:$E$26=$E5,$P$5:$P$26)))</f>
        <v>0.32219068513635724</v>
      </c>
      <c r="AB5" s="10">
        <f>IF(Z5="NC",(SUM(Q5:Y5)+AA5)/(COUNTA(Q5:Y5)+COUNTA(AA5)),AVERAGE(Q5:AA5))</f>
        <v>0.84178447011190127</v>
      </c>
      <c r="AC5" s="10">
        <f t="array" ref="AC5">SUM(IF($E$5:$E$26=$E5,$AB$5:$AB$26,"ERROR"))</f>
        <v>3.1949848099714395</v>
      </c>
      <c r="AD5" s="32">
        <f>AB5/AC5</f>
        <v>0.26347057034034105</v>
      </c>
      <c r="AE5" s="11">
        <f>VLOOKUP(E5,Categorías!$A$35:$C$37,3,0)</f>
        <v>16677632</v>
      </c>
      <c r="AF5" s="11">
        <f>AD5*AE5</f>
        <v>4394065.2149663223</v>
      </c>
      <c r="AG5" s="71">
        <f>ROUND(AF5,0)</f>
        <v>4394065</v>
      </c>
      <c r="AH5" s="71">
        <f>TRUNC(AF5,0)</f>
        <v>4394065</v>
      </c>
      <c r="AI5" s="18">
        <f t="array" ref="AI5">AG5/(SUM(IF($C$5:$C$26=$C5,$AG$5:$AG$26,0)))</f>
        <v>8.5449914955839729E-2</v>
      </c>
    </row>
    <row r="6" spans="1:35" x14ac:dyDescent="0.25">
      <c r="A6" s="21" t="str">
        <f>Valores!A5</f>
        <v>UNIVERSIDAD DE SANTIAGO DE CHILE</v>
      </c>
      <c r="B6" s="22" t="str">
        <f>Valores!B5</f>
        <v>USA</v>
      </c>
      <c r="C6" s="23" t="str">
        <f>Valores!C5</f>
        <v>CRUCH-ESTATAL</v>
      </c>
      <c r="D6" s="23" t="str">
        <f>Valores!D5</f>
        <v>Categoría I</v>
      </c>
      <c r="E6" s="23" t="str">
        <f t="shared" ref="E6:E20" si="0">CONCATENATE(C6,D6)</f>
        <v>CRUCH-ESTATALCategoría I</v>
      </c>
      <c r="F6" s="24">
        <f>IFERROR(Valores!E5/Valores!F5*100,0)</f>
        <v>2.6865908910261505</v>
      </c>
      <c r="G6" s="25">
        <f>IFERROR(Valores!G5/Valores!H5,0)</f>
        <v>0.41286091419444654</v>
      </c>
      <c r="H6" s="25">
        <f>IFERROR((Valores!G5+Valores!I5+Valores!J5)/(Valores!H5),0)</f>
        <v>0.73580801204502688</v>
      </c>
      <c r="I6" s="25">
        <f>IFERROR(Valores!K5/Valores!H5,0)</f>
        <v>0.71171456814070222</v>
      </c>
      <c r="J6" s="25">
        <f>IFERROR(Valores!K5/Valores!G5,0)</f>
        <v>1.7238603696098573</v>
      </c>
      <c r="K6" s="25">
        <f>IFERROR(Valores!L5/Valores!M5,0)</f>
        <v>8.6858986524957302</v>
      </c>
      <c r="L6" s="25">
        <f>IFERROR(Valores!N5/Valores!O5,0)</f>
        <v>0.66367924528301891</v>
      </c>
      <c r="M6" s="25">
        <f>IFERROR(Valores!P5/Valores!Q5,0)</f>
        <v>0.81267427122940428</v>
      </c>
      <c r="N6" s="25">
        <f>IFERROR(Valores!R5/Valores!S5,0)</f>
        <v>0.73294564974278686</v>
      </c>
      <c r="O6" s="25">
        <f>IF(Valores!W5&gt;0,Valores!T5/Valores!W5,IF(AND(Valores!W5=0,OR(Valores!V5&gt;0,Valores!U5&gt;0)),0,IF(AND(Valores!V5=0,Valores!W5=0,Valores!U5=0),"NC",)))</f>
        <v>0.20481927710843373</v>
      </c>
      <c r="P6" s="26">
        <f>IFERROR((Valores!X5+Valores!Y5)*1000/(Valores!H5),0)</f>
        <v>5.968256336609663</v>
      </c>
      <c r="Q6" s="27">
        <f t="array" ref="Q6">F6/MAX(IF($E$5:$E$26=$E6,F$5:F$26))</f>
        <v>0.61463169563035136</v>
      </c>
      <c r="R6" s="27">
        <f t="array" ref="R6">G6/MAX(IF($E$5:$E$26=$E6,G$5:G$26))</f>
        <v>0.71320855483782586</v>
      </c>
      <c r="S6" s="27">
        <f t="array" ref="S6">H6/MAX(IF($E$5:$E$26=$E6,H$5:H$26))</f>
        <v>0.75988151316834174</v>
      </c>
      <c r="T6" s="27">
        <f t="array" ref="T6">I6/MAX(IF($E$5:$E$26=$E6,I$5:I$26))</f>
        <v>0.5079163897835649</v>
      </c>
      <c r="U6" s="27">
        <f t="array" ref="U6">J6/MAX(IF($E$5:$E$26=$E6,J$5:J$26))</f>
        <v>0.71215689483570266</v>
      </c>
      <c r="V6" s="27">
        <f t="array" ref="V6">K6/MAX(IF($E$5:$E$26=$E6,K$5:K$26))</f>
        <v>0.75782395933743862</v>
      </c>
      <c r="W6" s="27">
        <f t="array" ref="W6">L6/MAX(IF($E$5:$E$26=$E6,L$5:L$26))</f>
        <v>0.84337178745992536</v>
      </c>
      <c r="X6" s="27">
        <f t="array" ref="X6">M6/MAX(IF($E$5:$E$26=$E6,M$5:M$26))</f>
        <v>0.91191121962300048</v>
      </c>
      <c r="Y6" s="27">
        <f t="array" ref="Y6">N6/MAX(IF($E$5:$E$26=$E6,N$5:N$26))</f>
        <v>0.88093260306979237</v>
      </c>
      <c r="Z6" s="27">
        <f t="array" ref="Z6">IF(O6="NC","NC",IF(O6=0,0,IF(O6&gt;0,O6/MAX(IF($E$5:$E$26=$E6,$O$5:$O$26,"ERROR")))))</f>
        <v>1</v>
      </c>
      <c r="AA6" s="28">
        <f t="array" ref="AA6">IF(P6=0,0,P6/MAX(IF($E$5:$E$26=$E6,$P$5:$P$26)))</f>
        <v>0.88842243047066016</v>
      </c>
      <c r="AB6" s="10">
        <f t="shared" ref="AB6:AB19" si="1">IF(Z6="NC",(SUM(Q6:Y6)+AA6)/(COUNTA(Q6:Y6)+COUNTA(AA6)),AVERAGE(Q6:AA6))</f>
        <v>0.78093245892878216</v>
      </c>
      <c r="AC6" s="10">
        <f t="array" ref="AC6">SUM(IF($E$5:$E$26=$E6,$AB$5:$AB$26,"ERROR"))</f>
        <v>3.1949848099714395</v>
      </c>
      <c r="AD6" s="32">
        <f t="shared" ref="AD6:AD19" si="2">AB6/AC6</f>
        <v>0.24442446689934749</v>
      </c>
      <c r="AE6" s="11">
        <f>VLOOKUP(E6,Categorías!$A$35:$C$37,3,0)</f>
        <v>16677632</v>
      </c>
      <c r="AF6" s="11">
        <f t="shared" ref="AF6:AF20" si="3">AD6*AE6</f>
        <v>4076421.3107434986</v>
      </c>
      <c r="AG6" s="71">
        <f t="shared" ref="AG6:AG20" si="4">ROUND(AF6,0)</f>
        <v>4076421</v>
      </c>
      <c r="AH6" s="71">
        <f t="shared" ref="AH6:AH22" si="5">TRUNC(AF6,0)</f>
        <v>4076421</v>
      </c>
      <c r="AI6" s="18">
        <f t="array" ref="AI6">AG6/(SUM(IF($C$5:$C$26=$C6,$AG$5:$AG$26,0)))</f>
        <v>7.9272798143450118E-2</v>
      </c>
    </row>
    <row r="7" spans="1:35" x14ac:dyDescent="0.25">
      <c r="A7" s="21" t="str">
        <f>Valores!A6</f>
        <v>UNIVERSIDAD DE ANTOFAGASTA</v>
      </c>
      <c r="B7" s="22" t="str">
        <f>Valores!B6</f>
        <v>ANT</v>
      </c>
      <c r="C7" s="23" t="str">
        <f>Valores!C6</f>
        <v>CRUCH-ESTATAL</v>
      </c>
      <c r="D7" s="23" t="str">
        <f>Valores!D6</f>
        <v>Categoría II</v>
      </c>
      <c r="E7" s="23" t="str">
        <f t="shared" si="0"/>
        <v>CRUCH-ESTATALCategoría II</v>
      </c>
      <c r="F7" s="24">
        <f>IFERROR(Valores!E6/Valores!F6*100,0)</f>
        <v>5.3743562656807073</v>
      </c>
      <c r="G7" s="25">
        <f>IFERROR(Valores!G6/Valores!H6,0)</f>
        <v>0.28919287701734464</v>
      </c>
      <c r="H7" s="25">
        <f>IFERROR((Valores!G6+Valores!I6+Valores!J6)/(Valores!H6),0)</f>
        <v>0.65313221982908243</v>
      </c>
      <c r="I7" s="25">
        <f>IFERROR(Valores!K6/Valores!H6,0)</f>
        <v>0.57945866981164229</v>
      </c>
      <c r="J7" s="25">
        <f>IFERROR(Valores!K6/Valores!G6,0)</f>
        <v>2.0037100352817081</v>
      </c>
      <c r="K7" s="25">
        <f>IFERROR(Valores!L6/Valores!M6,0)</f>
        <v>15.138530566461021</v>
      </c>
      <c r="L7" s="25">
        <f>IFERROR(Valores!N6/Valores!O6,0)</f>
        <v>0.50203417412530515</v>
      </c>
      <c r="M7" s="25">
        <f>IFERROR(Valores!P6/Valores!Q6,0)</f>
        <v>0.82661668228678542</v>
      </c>
      <c r="N7" s="25">
        <f>IFERROR(Valores!R6/Valores!S6,0)</f>
        <v>0.72628304821150858</v>
      </c>
      <c r="O7" s="25">
        <f>IF(Valores!W6&gt;0,Valores!T6/Valores!W6,IF(AND(Valores!W6=0,OR(Valores!V6&gt;0,Valores!U6&gt;0)),0,IF(AND(Valores!V6=0,Valores!W6=0,Valores!U6=0),"NC",)))</f>
        <v>0.1</v>
      </c>
      <c r="P7" s="26">
        <f>IFERROR((Valores!X6+Valores!Y6)*1000/(Valores!H6),0)</f>
        <v>5.5539169630508844</v>
      </c>
      <c r="Q7" s="27">
        <f t="array" ref="Q7">F7/MAX(IF($E$5:$E$26=$E7,F$5:F$26))</f>
        <v>0.91749558864743208</v>
      </c>
      <c r="R7" s="27">
        <f t="array" ref="R7">G7/MAX(IF($E$5:$E$26=$E7,G$5:G$26))</f>
        <v>0.49535427731885978</v>
      </c>
      <c r="S7" s="27">
        <f t="array" ref="S7">H7/MAX(IF($E$5:$E$26=$E7,H$5:H$26))</f>
        <v>0.69743162256531588</v>
      </c>
      <c r="T7" s="27">
        <f t="array" ref="T7">I7/MAX(IF($E$5:$E$26=$E7,I$5:I$26))</f>
        <v>0.28397503926565626</v>
      </c>
      <c r="U7" s="27">
        <f t="array" ref="U7">J7/MAX(IF($E$5:$E$26=$E7,J$5:J$26))</f>
        <v>0.52671943204207416</v>
      </c>
      <c r="V7" s="27">
        <f t="array" ref="V7">K7/MAX(IF($E$5:$E$26=$E7,K$5:K$26))</f>
        <v>0.99952790148319182</v>
      </c>
      <c r="W7" s="27">
        <f t="array" ref="W7">L7/MAX(IF($E$5:$E$26=$E7,L$5:L$26))</f>
        <v>0.6167547715669367</v>
      </c>
      <c r="X7" s="27">
        <f t="array" ref="X7">M7/MAX(IF($E$5:$E$26=$E7,M$5:M$26))</f>
        <v>0.91663063522075794</v>
      </c>
      <c r="Y7" s="27">
        <f t="array" ref="Y7">N7/MAX(IF($E$5:$E$26=$E7,N$5:N$26))</f>
        <v>0.94509909478805287</v>
      </c>
      <c r="Z7" s="27">
        <f t="array" ref="Z7">IF(O7="NC","NC",IF(O7=0,0,IF(O7&gt;0,O7/MAX(IF($E$5:$E$26=$E7,$O$5:$O$26,"ERROR")))))</f>
        <v>0.46666666666666673</v>
      </c>
      <c r="AA7" s="28">
        <f t="array" ref="AA7">IF(P7=0,0,P7/MAX(IF($E$5:$E$26=$E7,$P$5:$P$26)))</f>
        <v>0.53823703528546496</v>
      </c>
      <c r="AB7" s="10">
        <f t="shared" si="1"/>
        <v>0.67308109680458272</v>
      </c>
      <c r="AC7" s="10">
        <f t="array" ref="AC7">SUM(IF($E$5:$E$26=$E7,$AB$5:$AB$26,"ERROR"))</f>
        <v>7.0051757201043738</v>
      </c>
      <c r="AD7" s="32">
        <f t="shared" si="2"/>
        <v>9.6083399431778155E-2</v>
      </c>
      <c r="AE7" s="11">
        <f>VLOOKUP(E7,Categorías!$A$35:$C$37,3,0)</f>
        <v>30575659</v>
      </c>
      <c r="AF7" s="11">
        <f t="shared" si="3"/>
        <v>2937813.2565868427</v>
      </c>
      <c r="AG7" s="71">
        <f t="shared" si="4"/>
        <v>2937813</v>
      </c>
      <c r="AH7" s="71">
        <f t="shared" si="5"/>
        <v>2937813</v>
      </c>
      <c r="AI7" s="18">
        <f t="array" ref="AI7">AG7/(SUM(IF($C$5:$C$26=$C7,$AG$5:$AG$26,0)))</f>
        <v>5.7130668528153405E-2</v>
      </c>
    </row>
    <row r="8" spans="1:35" x14ac:dyDescent="0.25">
      <c r="A8" s="21" t="str">
        <f>Valores!A7</f>
        <v>UNIVERSIDAD DE LA FRONTERA</v>
      </c>
      <c r="B8" s="22" t="str">
        <f>Valores!B7</f>
        <v>FRO</v>
      </c>
      <c r="C8" s="23" t="str">
        <f>Valores!C7</f>
        <v>CRUCH-ESTATAL</v>
      </c>
      <c r="D8" s="23" t="str">
        <f>Valores!D7</f>
        <v>Categoría II</v>
      </c>
      <c r="E8" s="23" t="str">
        <f t="shared" si="0"/>
        <v>CRUCH-ESTATALCategoría II</v>
      </c>
      <c r="F8" s="24">
        <f>IFERROR(Valores!E7/Valores!F7*100,0)</f>
        <v>3.5513695670958265</v>
      </c>
      <c r="G8" s="25">
        <f>IFERROR(Valores!G7/Valores!H7,0)</f>
        <v>0.54508882338883147</v>
      </c>
      <c r="H8" s="25">
        <f>IFERROR((Valores!G7+Valores!I7+Valores!J7)/(Valores!H7),0)</f>
        <v>0.83764837090735289</v>
      </c>
      <c r="I8" s="25">
        <f>IFERROR(Valores!K7/Valores!H7,0)</f>
        <v>1.607105871106508</v>
      </c>
      <c r="J8" s="25">
        <f>IFERROR(Valores!K7/Valores!G7,0)</f>
        <v>2.948337595907927</v>
      </c>
      <c r="K8" s="25">
        <f>IFERROR(Valores!L7/Valores!M7,0)</f>
        <v>11.511739338763777</v>
      </c>
      <c r="L8" s="25">
        <f>IFERROR(Valores!N7/Valores!O7,0)</f>
        <v>0.69466019417475733</v>
      </c>
      <c r="M8" s="25">
        <f>IFERROR(Valores!P7/Valores!Q7,0)</f>
        <v>0.86552296624239067</v>
      </c>
      <c r="N8" s="25">
        <f>IFERROR(Valores!R7/Valores!S7,0)</f>
        <v>0.76847290640394084</v>
      </c>
      <c r="O8" s="25">
        <f>IF(Valores!W7&gt;0,Valores!T7/Valores!W7,IF(AND(Valores!W7=0,OR(Valores!V7&gt;0,Valores!U7&gt;0)),0,IF(AND(Valores!V7=0,Valores!W7=0,Valores!U7=0),"NC",)))</f>
        <v>8.6956521739130432E-2</v>
      </c>
      <c r="P8" s="26">
        <f>IFERROR((Valores!X7+Valores!Y7)*1000/(Valores!H7),0)</f>
        <v>5.2577073209591321</v>
      </c>
      <c r="Q8" s="27">
        <f t="array" ref="Q8">F8/MAX(IF($E$5:$E$26=$E8,F$5:F$26))</f>
        <v>0.60628022229830014</v>
      </c>
      <c r="R8" s="27">
        <f t="array" ref="R8">G8/MAX(IF($E$5:$E$26=$E8,G$5:G$26))</f>
        <v>0.93367472591023715</v>
      </c>
      <c r="S8" s="27">
        <f t="array" ref="S8">H8/MAX(IF($E$5:$E$26=$E8,H$5:H$26))</f>
        <v>0.89446278215150377</v>
      </c>
      <c r="T8" s="27">
        <f t="array" ref="T8">I8/MAX(IF($E$5:$E$26=$E8,I$5:I$26))</f>
        <v>0.78759362250958576</v>
      </c>
      <c r="U8" s="27">
        <f t="array" ref="U8">J8/MAX(IF($E$5:$E$26=$E8,J$5:J$26))</f>
        <v>0.77503564719462203</v>
      </c>
      <c r="V8" s="27">
        <f t="array" ref="V8">K8/MAX(IF($E$5:$E$26=$E8,K$5:K$26))</f>
        <v>0.76006747241294015</v>
      </c>
      <c r="W8" s="27">
        <f t="array" ref="W8">L8/MAX(IF($E$5:$E$26=$E8,L$5:L$26))</f>
        <v>0.85339805825242721</v>
      </c>
      <c r="X8" s="27">
        <f t="array" ref="X8">M8/MAX(IF($E$5:$E$26=$E8,M$5:M$26))</f>
        <v>0.95977359681408914</v>
      </c>
      <c r="Y8" s="27">
        <f t="array" ref="Y8">N8/MAX(IF($E$5:$E$26=$E8,N$5:N$26))</f>
        <v>1</v>
      </c>
      <c r="Z8" s="27">
        <f t="array" ref="Z8">IF(O8="NC","NC",IF(O8=0,0,IF(O8&gt;0,O8/MAX(IF($E$5:$E$26=$E8,$O$5:$O$26,"ERROR")))))</f>
        <v>0.40579710144927539</v>
      </c>
      <c r="AA8" s="28">
        <f t="array" ref="AA8">IF(P8=0,0,P8/MAX(IF($E$5:$E$26=$E8,$P$5:$P$26)))</f>
        <v>0.50953098860830059</v>
      </c>
      <c r="AB8" s="10">
        <f t="shared" si="1"/>
        <v>0.77141947432738922</v>
      </c>
      <c r="AC8" s="10">
        <f t="array" ref="AC8">SUM(IF($E$5:$E$26=$E8,$AB$5:$AB$26,"ERROR"))</f>
        <v>7.0051757201043738</v>
      </c>
      <c r="AD8" s="32">
        <f t="shared" si="2"/>
        <v>0.11012135957039139</v>
      </c>
      <c r="AE8" s="11">
        <f>VLOOKUP(E8,Categorías!$A$35:$C$37,3,0)</f>
        <v>30575659</v>
      </c>
      <c r="AF8" s="11">
        <f t="shared" si="3"/>
        <v>3367033.1388406735</v>
      </c>
      <c r="AG8" s="71">
        <f t="shared" si="4"/>
        <v>3367033</v>
      </c>
      <c r="AH8" s="71">
        <f t="shared" si="5"/>
        <v>3367033</v>
      </c>
      <c r="AI8" s="18">
        <f t="array" ref="AI8">AG8/(SUM(IF($C$5:$C$26=$C8,$AG$5:$AG$26,0)))</f>
        <v>6.5477566559326253E-2</v>
      </c>
    </row>
    <row r="9" spans="1:35" x14ac:dyDescent="0.25">
      <c r="A9" s="21" t="str">
        <f>Valores!A8</f>
        <v>UNIVERSIDAD DE TALCA</v>
      </c>
      <c r="B9" s="22" t="str">
        <f>Valores!B8</f>
        <v>TAL</v>
      </c>
      <c r="C9" s="23" t="str">
        <f>Valores!C8</f>
        <v>CRUCH-ESTATAL</v>
      </c>
      <c r="D9" s="23" t="str">
        <f>Valores!D8</f>
        <v>Categoría I</v>
      </c>
      <c r="E9" s="23" t="str">
        <f t="shared" si="0"/>
        <v>CRUCH-ESTATALCategoría I</v>
      </c>
      <c r="F9" s="24">
        <f>IFERROR(Valores!E8/Valores!F8*100,0)</f>
        <v>4.3710581639803783</v>
      </c>
      <c r="G9" s="25">
        <f>IFERROR(Valores!G8/Valores!H8,0)</f>
        <v>0.47303332188251529</v>
      </c>
      <c r="H9" s="25">
        <f>IFERROR((Valores!G8+Valores!I8+Valores!J8)/(Valores!H8),0)</f>
        <v>0.96831940150387408</v>
      </c>
      <c r="I9" s="25">
        <f>IFERROR(Valores!K8/Valores!H8,0)</f>
        <v>1.0882858124355916</v>
      </c>
      <c r="J9" s="25">
        <f>IFERROR(Valores!K8/Valores!G8,0)</f>
        <v>2.3006535947712439</v>
      </c>
      <c r="K9" s="25">
        <f>IFERROR(Valores!L8/Valores!M8,0)</f>
        <v>9.679926560587516</v>
      </c>
      <c r="L9" s="25">
        <f>IFERROR(Valores!N8/Valores!O8,0)</f>
        <v>0.78693555458132403</v>
      </c>
      <c r="M9" s="25">
        <f>IFERROR(Valores!P8/Valores!Q8,0)</f>
        <v>0.84488778054862845</v>
      </c>
      <c r="N9" s="25">
        <f>IFERROR(Valores!R8/Valores!S8,0)</f>
        <v>0.73242850218128941</v>
      </c>
      <c r="O9" s="25">
        <f>IF(Valores!W8&gt;0,Valores!T8/Valores!W8,IF(AND(Valores!W8=0,OR(Valores!V8&gt;0,Valores!U8&gt;0)),0,IF(AND(Valores!V8=0,Valores!W8=0,Valores!U8=0),"NC",)))</f>
        <v>8.8888888888888892E-2</v>
      </c>
      <c r="P9" s="26">
        <f>IFERROR((Valores!X8+Valores!Y8)*1000/(Valores!H8),0)</f>
        <v>6.7178136570098257</v>
      </c>
      <c r="Q9" s="27">
        <f t="array" ref="Q9">F9/MAX(IF($E$5:$E$26=$E9,F$5:F$26))</f>
        <v>1</v>
      </c>
      <c r="R9" s="27">
        <f t="array" ref="R9">G9/MAX(IF($E$5:$E$26=$E9,G$5:G$26))</f>
        <v>0.81715512486384667</v>
      </c>
      <c r="S9" s="27">
        <f t="array" ref="S9">H9/MAX(IF($E$5:$E$26=$E9,H$5:H$26))</f>
        <v>1</v>
      </c>
      <c r="T9" s="27">
        <f t="array" ref="T9">I9/MAX(IF($E$5:$E$26=$E9,I$5:I$26))</f>
        <v>0.77665713988263096</v>
      </c>
      <c r="U9" s="27">
        <f t="array" ref="U9">J9/MAX(IF($E$5:$E$26=$E9,J$5:J$26))</f>
        <v>0.95044027290661204</v>
      </c>
      <c r="V9" s="27">
        <f t="array" ref="V9">K9/MAX(IF($E$5:$E$26=$E9,K$5:K$26))</f>
        <v>0.84455052559613919</v>
      </c>
      <c r="W9" s="27">
        <f t="array" ref="W9">L9/MAX(IF($E$5:$E$26=$E9,L$5:L$26))</f>
        <v>1</v>
      </c>
      <c r="X9" s="27">
        <f t="array" ref="X9">M9/MAX(IF($E$5:$E$26=$E9,M$5:M$26))</f>
        <v>0.94805837182358776</v>
      </c>
      <c r="Y9" s="27">
        <f t="array" ref="Y9">N9/MAX(IF($E$5:$E$26=$E9,N$5:N$26))</f>
        <v>0.8803110397278433</v>
      </c>
      <c r="Z9" s="27">
        <f t="array" ref="Z9">IF(O9="NC","NC",IF(O9=0,0,IF(O9&gt;0,O9/MAX(IF($E$5:$E$26=$E9,$O$5:$O$26,"ERROR")))))</f>
        <v>0.43398692810457518</v>
      </c>
      <c r="AA9" s="28">
        <f t="array" ref="AA9">IF(P9=0,0,P9/MAX(IF($E$5:$E$26=$E9,$P$5:$P$26)))</f>
        <v>1</v>
      </c>
      <c r="AB9" s="10">
        <f t="shared" si="1"/>
        <v>0.87737812753683964</v>
      </c>
      <c r="AC9" s="10">
        <f t="array" ref="AC9">SUM(IF($E$5:$E$26=$E9,$AB$5:$AB$26,"ERROR"))</f>
        <v>3.1949848099714395</v>
      </c>
      <c r="AD9" s="32">
        <f t="shared" si="2"/>
        <v>0.27461104816479009</v>
      </c>
      <c r="AE9" s="11">
        <f>VLOOKUP(E9,Categorías!$A$35:$C$37,3,0)</f>
        <v>16677632</v>
      </c>
      <c r="AF9" s="11">
        <f t="shared" si="3"/>
        <v>4579862.0044266442</v>
      </c>
      <c r="AG9" s="71">
        <f t="shared" si="4"/>
        <v>4579862</v>
      </c>
      <c r="AH9" s="71">
        <f t="shared" si="5"/>
        <v>4579862</v>
      </c>
      <c r="AI9" s="18">
        <f t="array" ref="AI9">AG9/(SUM(IF($C$5:$C$26=$C9,$AG$5:$AG$26,0)))</f>
        <v>8.90630471805679E-2</v>
      </c>
    </row>
    <row r="10" spans="1:35" x14ac:dyDescent="0.25">
      <c r="A10" s="21" t="str">
        <f>Valores!A9</f>
        <v>UNIVERSIDAD DE TARAPACÁ</v>
      </c>
      <c r="B10" s="22" t="str">
        <f>Valores!B9</f>
        <v>UTA</v>
      </c>
      <c r="C10" s="23" t="str">
        <f>Valores!C9</f>
        <v>CRUCH-ESTATAL</v>
      </c>
      <c r="D10" s="23" t="str">
        <f>Valores!D9</f>
        <v>Categoría II</v>
      </c>
      <c r="E10" s="23" t="str">
        <f t="shared" si="0"/>
        <v>CRUCH-ESTATALCategoría II</v>
      </c>
      <c r="F10" s="24">
        <f>IFERROR(Valores!E9/Valores!F9*100,0)</f>
        <v>3.3358320839580209</v>
      </c>
      <c r="G10" s="25">
        <f>IFERROR(Valores!G9/Valores!H9,0)</f>
        <v>0.53639752397636553</v>
      </c>
      <c r="H10" s="25">
        <f>IFERROR((Valores!G9+Valores!I9+Valores!J9)/(Valores!H9),0)</f>
        <v>0.91057598388403627</v>
      </c>
      <c r="I10" s="25">
        <f>IFERROR(Valores!K9/Valores!H9,0)</f>
        <v>2.040526770627765</v>
      </c>
      <c r="J10" s="25">
        <f>IFERROR(Valores!K9/Valores!G9,0)</f>
        <v>3.8041315990818667</v>
      </c>
      <c r="K10" s="25">
        <f>IFERROR(Valores!L9/Valores!M9,0)</f>
        <v>10.111521418020679</v>
      </c>
      <c r="L10" s="25">
        <f>IFERROR(Valores!N9/Valores!O9,0)</f>
        <v>0.75233415233415235</v>
      </c>
      <c r="M10" s="25">
        <f>IFERROR(Valores!P9/Valores!Q9,0)</f>
        <v>0.85167714884696022</v>
      </c>
      <c r="N10" s="25">
        <f>IFERROR(Valores!R9/Valores!S9,0)</f>
        <v>0.74962140333165073</v>
      </c>
      <c r="O10" s="25">
        <f>IF(Valores!W9&gt;0,Valores!T9/Valores!W9,IF(AND(Valores!W9=0,OR(Valores!V9&gt;0,Valores!U9&gt;0)),0,IF(AND(Valores!V9=0,Valores!W9=0,Valores!U9=0),"NC",)))</f>
        <v>0</v>
      </c>
      <c r="P10" s="26">
        <f>IFERROR((Valores!X9+Valores!Y9)*1000/(Valores!H9),0)</f>
        <v>10.318719446916639</v>
      </c>
      <c r="Q10" s="27">
        <f t="array" ref="Q10">F10/MAX(IF($E$5:$E$26=$E10,F$5:F$26))</f>
        <v>0.56948424521916252</v>
      </c>
      <c r="R10" s="27">
        <f t="array" ref="R10">G10/MAX(IF($E$5:$E$26=$E10,G$5:G$26))</f>
        <v>0.91878752542374087</v>
      </c>
      <c r="S10" s="27">
        <f t="array" ref="S10">H10/MAX(IF($E$5:$E$26=$E10,H$5:H$26))</f>
        <v>0.97233678974747528</v>
      </c>
      <c r="T10" s="27">
        <f t="array" ref="T10">I10/MAX(IF($E$5:$E$26=$E10,I$5:I$26))</f>
        <v>1</v>
      </c>
      <c r="U10" s="27">
        <f t="array" ref="U10">J10/MAX(IF($E$5:$E$26=$E10,J$5:J$26))</f>
        <v>1</v>
      </c>
      <c r="V10" s="27">
        <f t="array" ref="V10">K10/MAX(IF($E$5:$E$26=$E10,K$5:K$26))</f>
        <v>0.66761749030964512</v>
      </c>
      <c r="W10" s="27">
        <f t="array" ref="W10">L10/MAX(IF($E$5:$E$26=$E10,L$5:L$26))</f>
        <v>0.9242511808549545</v>
      </c>
      <c r="X10" s="27">
        <f t="array" ref="X10">M10/MAX(IF($E$5:$E$26=$E10,M$5:M$26))</f>
        <v>0.94442004701732751</v>
      </c>
      <c r="Y10" s="27">
        <f t="array" ref="Y10">N10/MAX(IF($E$5:$E$26=$E10,N$5:N$26))</f>
        <v>0.97546887741234045</v>
      </c>
      <c r="Z10" s="27">
        <f t="array" ref="Z10">IF(O10="NC","NC",IF(O10=0,0,IF(O10&gt;0,O10/MAX(IF($E$5:$E$26=$E10,$O$5:$O$26,"ERROR")))))</f>
        <v>0</v>
      </c>
      <c r="AA10" s="28">
        <f t="array" ref="AA10">IF(P10=0,0,P10/MAX(IF($E$5:$E$26=$E10,$P$5:$P$26)))</f>
        <v>1</v>
      </c>
      <c r="AB10" s="10">
        <f t="shared" si="1"/>
        <v>0.8156696505440586</v>
      </c>
      <c r="AC10" s="10">
        <f t="array" ref="AC10">SUM(IF($E$5:$E$26=$E10,$AB$5:$AB$26,"ERROR"))</f>
        <v>7.0051757201043738</v>
      </c>
      <c r="AD10" s="32">
        <f t="shared" si="2"/>
        <v>0.11643814275823841</v>
      </c>
      <c r="AE10" s="11">
        <f>VLOOKUP(E10,Categorías!$A$35:$C$37,3,0)</f>
        <v>30575659</v>
      </c>
      <c r="AF10" s="11">
        <f t="shared" si="3"/>
        <v>3560172.9475692171</v>
      </c>
      <c r="AG10" s="71">
        <f t="shared" si="4"/>
        <v>3560173</v>
      </c>
      <c r="AH10" s="71">
        <f t="shared" si="5"/>
        <v>3560172</v>
      </c>
      <c r="AI10" s="18">
        <f t="array" ref="AI10">AG10/(SUM(IF($C$5:$C$26=$C10,$AG$5:$AG$26,0)))</f>
        <v>6.923349565335897E-2</v>
      </c>
    </row>
    <row r="11" spans="1:35" x14ac:dyDescent="0.25">
      <c r="A11" s="21" t="str">
        <f>Valores!A10</f>
        <v>UNIVERSIDAD DE VALPARAÍSO</v>
      </c>
      <c r="B11" s="22" t="str">
        <f>Valores!B10</f>
        <v>UVA</v>
      </c>
      <c r="C11" s="23" t="str">
        <f>Valores!C10</f>
        <v>CRUCH-ESTATAL</v>
      </c>
      <c r="D11" s="23" t="str">
        <f>Valores!D10</f>
        <v>Categoría I</v>
      </c>
      <c r="E11" s="23" t="str">
        <f t="shared" si="0"/>
        <v>CRUCH-ESTATALCategoría I</v>
      </c>
      <c r="F11" s="24">
        <f>IFERROR(Valores!E10/Valores!F10*100,0)</f>
        <v>3.4697832142424612</v>
      </c>
      <c r="G11" s="25">
        <f>IFERROR(Valores!G10/Valores!H10,0)</f>
        <v>0.36757996784133445</v>
      </c>
      <c r="H11" s="25">
        <f>IFERROR((Valores!G10+Valores!I10+Valores!J10)/(Valores!H10),0)</f>
        <v>0.89592118041801327</v>
      </c>
      <c r="I11" s="25">
        <f>IFERROR(Valores!K10/Valores!H10,0)</f>
        <v>0.65699438642474917</v>
      </c>
      <c r="J11" s="25">
        <f>IFERROR(Valores!K10/Valores!G10,0)</f>
        <v>1.7873509002219081</v>
      </c>
      <c r="K11" s="25">
        <f>IFERROR(Valores!L10/Valores!M10,0)</f>
        <v>10.06351689612015</v>
      </c>
      <c r="L11" s="25">
        <f>IFERROR(Valores!N10/Valores!O10,0)</f>
        <v>0.70684846606755503</v>
      </c>
      <c r="M11" s="25">
        <f>IFERROR(Valores!P10/Valores!Q10,0)</f>
        <v>0.79873993699684986</v>
      </c>
      <c r="N11" s="25">
        <f>IFERROR(Valores!R10/Valores!S10,0)</f>
        <v>0.72002635046113306</v>
      </c>
      <c r="O11" s="25">
        <f>IF(Valores!W10&gt;0,Valores!T10/Valores!W10,IF(AND(Valores!W10=0,OR(Valores!V10&gt;0,Valores!U10&gt;0)),0,IF(AND(Valores!V10=0,Valores!W10=0,Valores!U10=0),"NC",)))</f>
        <v>7.8431372549019607E-2</v>
      </c>
      <c r="P11" s="26">
        <f>IFERROR((Valores!X10+Valores!Y10)*1000/(Valores!H10),0)</f>
        <v>1.0859411345863623</v>
      </c>
      <c r="Q11" s="27">
        <f t="array" ref="Q11">F11/MAX(IF($E$5:$E$26=$E11,F$5:F$26))</f>
        <v>0.79380852051687245</v>
      </c>
      <c r="R11" s="27">
        <f t="array" ref="R11">G11/MAX(IF($E$5:$E$26=$E11,G$5:G$26))</f>
        <v>0.6349866713902147</v>
      </c>
      <c r="S11" s="27">
        <f t="array" ref="S11">H11/MAX(IF($E$5:$E$26=$E11,H$5:H$26))</f>
        <v>0.92523311938868436</v>
      </c>
      <c r="T11" s="27">
        <f t="array" ref="T11">I11/MAX(IF($E$5:$E$26=$E11,I$5:I$26))</f>
        <v>0.46886523305640221</v>
      </c>
      <c r="U11" s="27">
        <f t="array" ref="U11">J11/MAX(IF($E$5:$E$26=$E11,J$5:J$26))</f>
        <v>0.7383859444323253</v>
      </c>
      <c r="V11" s="27">
        <f t="array" ref="V11">K11/MAX(IF($E$5:$E$26=$E11,K$5:K$26))</f>
        <v>0.87801786829341921</v>
      </c>
      <c r="W11" s="27">
        <f t="array" ref="W11">L11/MAX(IF($E$5:$E$26=$E11,L$5:L$26))</f>
        <v>0.89822916495826899</v>
      </c>
      <c r="X11" s="27">
        <f t="array" ref="X11">M11/MAX(IF($E$5:$E$26=$E11,M$5:M$26))</f>
        <v>0.89627534166488521</v>
      </c>
      <c r="Y11" s="27">
        <f t="array" ref="Y11">N11/MAX(IF($E$5:$E$26=$E11,N$5:N$26))</f>
        <v>0.86540480513549944</v>
      </c>
      <c r="Z11" s="27">
        <f t="array" ref="Z11">IF(O11="NC","NC",IF(O11=0,0,IF(O11&gt;0,O11/MAX(IF($E$5:$E$26=$E11,$O$5:$O$26,"ERROR")))))</f>
        <v>0.38292964244521338</v>
      </c>
      <c r="AA11" s="28">
        <f t="array" ref="AA11">IF(P11=0,0,P11/MAX(IF($E$5:$E$26=$E11,$P$5:$P$26)))</f>
        <v>0.16165097605129566</v>
      </c>
      <c r="AB11" s="10">
        <f t="shared" si="1"/>
        <v>0.69488975339391645</v>
      </c>
      <c r="AC11" s="10">
        <f t="array" ref="AC11">SUM(IF($E$5:$E$26=$E11,$AB$5:$AB$26,"ERROR"))</f>
        <v>3.1949848099714395</v>
      </c>
      <c r="AD11" s="32">
        <f t="shared" si="2"/>
        <v>0.21749391459552139</v>
      </c>
      <c r="AE11" s="11">
        <f>VLOOKUP(E11,Categorías!$A$35:$C$37,3,0)</f>
        <v>16677632</v>
      </c>
      <c r="AF11" s="11">
        <f t="shared" si="3"/>
        <v>3627283.4698635344</v>
      </c>
      <c r="AG11" s="71">
        <f t="shared" si="4"/>
        <v>3627283</v>
      </c>
      <c r="AH11" s="71">
        <f t="shared" si="5"/>
        <v>3627283</v>
      </c>
      <c r="AI11" s="18">
        <f t="array" ref="AI11">AG11/(SUM(IF($C$5:$C$26=$C11,$AG$5:$AG$26,0)))</f>
        <v>7.053856141653872E-2</v>
      </c>
    </row>
    <row r="12" spans="1:35" x14ac:dyDescent="0.25">
      <c r="A12" s="21" t="str">
        <f>Valores!A11</f>
        <v>UNIVERSIDAD DEL BÍO-BÍO</v>
      </c>
      <c r="B12" s="22" t="str">
        <f>Valores!B11</f>
        <v>UBB</v>
      </c>
      <c r="C12" s="23" t="str">
        <f>Valores!C11</f>
        <v>CRUCH-ESTATAL</v>
      </c>
      <c r="D12" s="23" t="str">
        <f>Valores!D11</f>
        <v>Categoría II</v>
      </c>
      <c r="E12" s="23" t="str">
        <f t="shared" si="0"/>
        <v>CRUCH-ESTATALCategoría II</v>
      </c>
      <c r="F12" s="24">
        <f>IFERROR(Valores!E11/Valores!F11*100,0)</f>
        <v>4.1539134236991693</v>
      </c>
      <c r="G12" s="25">
        <f>IFERROR(Valores!G11/Valores!H11,0)</f>
        <v>0.5838101945593801</v>
      </c>
      <c r="H12" s="25">
        <f>IFERROR((Valores!G11+Valores!I11+Valores!J11)/(Valores!H11),0)</f>
        <v>0.93648208469055372</v>
      </c>
      <c r="I12" s="25">
        <f>IFERROR(Valores!K11/Valores!H11,0)</f>
        <v>0.77471608416233817</v>
      </c>
      <c r="J12" s="25">
        <f>IFERROR(Valores!K11/Valores!G11,0)</f>
        <v>1.3269999246022772</v>
      </c>
      <c r="K12" s="25">
        <f>IFERROR(Valores!L11/Valores!M11,0)</f>
        <v>7.2809195402298847</v>
      </c>
      <c r="L12" s="25">
        <f>IFERROR(Valores!N11/Valores!O11,0)</f>
        <v>0.8061979648473635</v>
      </c>
      <c r="M12" s="25">
        <f>IFERROR(Valores!P11/Valores!Q11,0)</f>
        <v>0.8288288288288288</v>
      </c>
      <c r="N12" s="25">
        <f>IFERROR(Valores!R11/Valores!S11,0)</f>
        <v>0.74759405074365703</v>
      </c>
      <c r="O12" s="25">
        <f>IF(Valores!W11&gt;0,Valores!T11/Valores!W11,IF(AND(Valores!W11=0,OR(Valores!V11&gt;0,Valores!U11&gt;0)),0,IF(AND(Valores!V11=0,Valores!W11=0,Valores!U11=0),"NC",)))</f>
        <v>0.15</v>
      </c>
      <c r="P12" s="26">
        <f>IFERROR((Valores!X11+Valores!Y11)*1000/(Valores!H11),0)</f>
        <v>3.8735804208116908</v>
      </c>
      <c r="Q12" s="27">
        <f t="array" ref="Q12">F12/MAX(IF($E$5:$E$26=$E12,F$5:F$26))</f>
        <v>0.70914488237497209</v>
      </c>
      <c r="R12" s="27">
        <f t="array" ref="R12">G12/MAX(IF($E$5:$E$26=$E12,G$5:G$26))</f>
        <v>1</v>
      </c>
      <c r="S12" s="27">
        <f t="array" ref="S12">H12/MAX(IF($E$5:$E$26=$E12,H$5:H$26))</f>
        <v>1</v>
      </c>
      <c r="T12" s="27">
        <f t="array" ref="T12">I12/MAX(IF($E$5:$E$26=$E12,I$5:I$26))</f>
        <v>0.37966474898243946</v>
      </c>
      <c r="U12" s="27">
        <f t="array" ref="U12">J12/MAX(IF($E$5:$E$26=$E12,J$5:J$26))</f>
        <v>0.3488312352082012</v>
      </c>
      <c r="V12" s="27">
        <f t="array" ref="V12">K12/MAX(IF($E$5:$E$26=$E12,K$5:K$26))</f>
        <v>0.48072580076146854</v>
      </c>
      <c r="W12" s="27">
        <f t="array" ref="W12">L12/MAX(IF($E$5:$E$26=$E12,L$5:L$26))</f>
        <v>0.99042349559864784</v>
      </c>
      <c r="X12" s="27">
        <f t="array" ref="X12">M12/MAX(IF($E$5:$E$26=$E12,M$5:M$26))</f>
        <v>0.91908367220087916</v>
      </c>
      <c r="Y12" s="27">
        <f t="array" ref="Y12">N12/MAX(IF($E$5:$E$26=$E12,N$5:N$26))</f>
        <v>0.97283071987796399</v>
      </c>
      <c r="Z12" s="27">
        <f t="array" ref="Z12">IF(O12="NC","NC",IF(O12=0,0,IF(O12&gt;0,O12/MAX(IF($E$5:$E$26=$E12,$O$5:$O$26,"ERROR")))))</f>
        <v>0.70000000000000007</v>
      </c>
      <c r="AA12" s="28">
        <f t="array" ref="AA12">IF(P12=0,0,P12/MAX(IF($E$5:$E$26=$E12,$P$5:$P$26)))</f>
        <v>0.37539352055638692</v>
      </c>
      <c r="AB12" s="31">
        <f t="shared" si="1"/>
        <v>0.71600891596008731</v>
      </c>
      <c r="AC12" s="10">
        <f t="array" ref="AC12">SUM(IF($E$5:$E$26=$E12,$AB$5:$AB$26,"ERROR"))</f>
        <v>7.0051757201043738</v>
      </c>
      <c r="AD12" s="32">
        <f t="shared" si="2"/>
        <v>0.10221141404136243</v>
      </c>
      <c r="AE12" s="11">
        <f>VLOOKUP(E12,Categorías!$A$35:$C$37,3,0)</f>
        <v>30575659</v>
      </c>
      <c r="AF12" s="11">
        <f t="shared" si="3"/>
        <v>3125181.3416365096</v>
      </c>
      <c r="AG12" s="71">
        <f t="shared" si="4"/>
        <v>3125181</v>
      </c>
      <c r="AH12" s="71">
        <f t="shared" si="5"/>
        <v>3125181</v>
      </c>
      <c r="AI12" s="18">
        <f t="array" ref="AI12">AG12/(SUM(IF($C$5:$C$26=$C12,$AG$5:$AG$26,0)))</f>
        <v>6.0774351465352962E-2</v>
      </c>
    </row>
    <row r="13" spans="1:35" x14ac:dyDescent="0.25">
      <c r="A13" s="21" t="str">
        <f>Valores!A12</f>
        <v>UNIVERSIDAD DE LA SERENA</v>
      </c>
      <c r="B13" s="22" t="str">
        <f>Valores!B12</f>
        <v>ULS</v>
      </c>
      <c r="C13" s="23" t="str">
        <f>Valores!C12</f>
        <v>CRUCH-ESTATAL</v>
      </c>
      <c r="D13" s="23" t="str">
        <f>Valores!D12</f>
        <v>Categoría II</v>
      </c>
      <c r="E13" s="23" t="str">
        <f t="shared" si="0"/>
        <v>CRUCH-ESTATALCategoría II</v>
      </c>
      <c r="F13" s="24">
        <f>IFERROR(Valores!E12/Valores!F12*100,0)</f>
        <v>2.7034086456836879</v>
      </c>
      <c r="G13" s="25">
        <f>IFERROR(Valores!G12/Valores!H12,0)</f>
        <v>0.35709542466299221</v>
      </c>
      <c r="H13" s="25">
        <f>IFERROR((Valores!G12+Valores!I12+Valores!J12)/(Valores!H12),0)</f>
        <v>0.60108572946410777</v>
      </c>
      <c r="I13" s="25">
        <f>IFERROR(Valores!K12/Valores!H12,0)</f>
        <v>0.99634769905040177</v>
      </c>
      <c r="J13" s="25">
        <f>IFERROR(Valores!K12/Valores!G12,0)</f>
        <v>2.7901441190144123</v>
      </c>
      <c r="K13" s="25">
        <f>IFERROR(Valores!L12/Valores!M12,0)</f>
        <v>15.145680819912153</v>
      </c>
      <c r="L13" s="25">
        <f>IFERROR(Valores!N12/Valores!O12,0)</f>
        <v>0.66727941176470584</v>
      </c>
      <c r="M13" s="25">
        <f>IFERROR(Valores!P12/Valores!Q12,0)</f>
        <v>0.81060606060606055</v>
      </c>
      <c r="N13" s="25">
        <f>IFERROR(Valores!R12/Valores!S12,0)</f>
        <v>0.68628605061801062</v>
      </c>
      <c r="O13" s="25">
        <f>IF(Valores!W12&gt;0,Valores!T12/Valores!W12,IF(AND(Valores!W12=0,OR(Valores!V12&gt;0,Valores!U12&gt;0)),0,IF(AND(Valores!V12=0,Valores!W12=0,Valores!U12=0),"NC",)))</f>
        <v>0.21428571428571427</v>
      </c>
      <c r="P13" s="26">
        <f>IFERROR((Valores!X12+Valores!Y12)*1000/(Valores!H12),0)</f>
        <v>0</v>
      </c>
      <c r="Q13" s="27">
        <f t="array" ref="Q13">F13/MAX(IF($E$5:$E$26=$E13,F$5:F$26))</f>
        <v>0.46151862364709706</v>
      </c>
      <c r="R13" s="27">
        <f t="array" ref="R13">G13/MAX(IF($E$5:$E$26=$E13,G$5:G$26))</f>
        <v>0.61166356461538551</v>
      </c>
      <c r="S13" s="27">
        <f t="array" ref="S13">H13/MAX(IF($E$5:$E$26=$E13,H$5:H$26))</f>
        <v>0.64185502241906467</v>
      </c>
      <c r="T13" s="27">
        <f t="array" ref="T13">I13/MAX(IF($E$5:$E$26=$E13,I$5:I$26))</f>
        <v>0.48827965081971303</v>
      </c>
      <c r="U13" s="27">
        <f t="array" ref="U13">J13/MAX(IF($E$5:$E$26=$E13,J$5:J$26))</f>
        <v>0.73345099830085214</v>
      </c>
      <c r="V13" s="27">
        <f t="array" ref="V13">K13/MAX(IF($E$5:$E$26=$E13,K$5:K$26))</f>
        <v>1</v>
      </c>
      <c r="W13" s="27">
        <f t="array" ref="W13">L13/MAX(IF($E$5:$E$26=$E13,L$5:L$26))</f>
        <v>0.81976045135035136</v>
      </c>
      <c r="X13" s="27">
        <f t="array" ref="X13">M13/MAX(IF($E$5:$E$26=$E13,M$5:M$26))</f>
        <v>0.89887654600871558</v>
      </c>
      <c r="Y13" s="27">
        <f t="array" ref="Y13">N13/MAX(IF($E$5:$E$26=$E13,N$5:N$26))</f>
        <v>0.89305171971446262</v>
      </c>
      <c r="Z13" s="27">
        <f t="array" ref="Z13">IF(O13="NC","NC",IF(O13=0,0,IF(O13&gt;0,O13/MAX(IF($E$5:$E$26=$E13,$O$5:$O$26,"ERROR")))))</f>
        <v>1</v>
      </c>
      <c r="AA13" s="28">
        <f t="array" ref="AA13">IF(P13=0,0,P13/MAX(IF($E$5:$E$26=$E13,$P$5:$P$26)))</f>
        <v>0</v>
      </c>
      <c r="AB13" s="10">
        <f t="shared" si="1"/>
        <v>0.68622332517051288</v>
      </c>
      <c r="AC13" s="10">
        <f t="array" ref="AC13">SUM(IF($E$5:$E$26=$E13,$AB$5:$AB$26,"ERROR"))</f>
        <v>7.0051757201043738</v>
      </c>
      <c r="AD13" s="32">
        <f t="shared" si="2"/>
        <v>9.7959473479173262E-2</v>
      </c>
      <c r="AE13" s="11">
        <f>VLOOKUP(E13,Categorías!$A$35:$C$37,3,0)</f>
        <v>30575659</v>
      </c>
      <c r="AF13" s="11">
        <f t="shared" si="3"/>
        <v>2995175.4569187453</v>
      </c>
      <c r="AG13" s="71">
        <f t="shared" si="4"/>
        <v>2995175</v>
      </c>
      <c r="AH13" s="71">
        <f t="shared" si="5"/>
        <v>2995175</v>
      </c>
      <c r="AI13" s="18">
        <f t="array" ref="AI13">AG13/(SUM(IF($C$5:$C$26=$C13,$AG$5:$AG$26,0)))</f>
        <v>5.8246168190014776E-2</v>
      </c>
    </row>
    <row r="14" spans="1:35" x14ac:dyDescent="0.25">
      <c r="A14" s="21" t="str">
        <f>Valores!A13</f>
        <v>UNIVERSIDAD DE PLAYA ANCHA CS. EDUCACIÓN</v>
      </c>
      <c r="B14" s="22" t="str">
        <f>Valores!B13</f>
        <v>UPA</v>
      </c>
      <c r="C14" s="23" t="str">
        <f>Valores!C13</f>
        <v>CRUCH-ESTATAL</v>
      </c>
      <c r="D14" s="23" t="str">
        <f>Valores!D13</f>
        <v>Categoría II</v>
      </c>
      <c r="E14" s="23" t="str">
        <f t="shared" si="0"/>
        <v>CRUCH-ESTATALCategoría II</v>
      </c>
      <c r="F14" s="24">
        <f>IFERROR(Valores!E13/Valores!F13*100,0)</f>
        <v>4.5621989232077071</v>
      </c>
      <c r="G14" s="25">
        <f>IFERROR(Valores!G13/Valores!H13,0)</f>
        <v>0.34644721961548641</v>
      </c>
      <c r="H14" s="25">
        <f>IFERROR((Valores!G13+Valores!I13+Valores!J13)/(Valores!H13),0)</f>
        <v>0.74746745590606145</v>
      </c>
      <c r="I14" s="25">
        <f>IFERROR(Valores!K13/Valores!H13,0)</f>
        <v>0.31973820351789028</v>
      </c>
      <c r="J14" s="25">
        <f>IFERROR(Valores!K13/Valores!G13,0)</f>
        <v>0.92290595916099472</v>
      </c>
      <c r="K14" s="25">
        <f>IFERROR(Valores!L13/Valores!M13,0)</f>
        <v>4.6846625766871162</v>
      </c>
      <c r="L14" s="25">
        <f>IFERROR(Valores!N13/Valores!O13,0)</f>
        <v>0.77405559515324307</v>
      </c>
      <c r="M14" s="25">
        <f>IFERROR(Valores!P13/Valores!Q13,0)</f>
        <v>0.81560891938250424</v>
      </c>
      <c r="N14" s="25">
        <f>IFERROR(Valores!R13/Valores!S13,0)</f>
        <v>0.71960958296362021</v>
      </c>
      <c r="O14" s="25">
        <f>IF(Valores!W13&gt;0,Valores!T13/Valores!W13,IF(AND(Valores!W13=0,OR(Valores!V13&gt;0,Valores!U13&gt;0)),0,IF(AND(Valores!V13=0,Valores!W13=0,Valores!U13=0),"NC",)))</f>
        <v>0</v>
      </c>
      <c r="P14" s="26">
        <f>IFERROR((Valores!X13+Valores!Y13)*1000/(Valores!H13),0)</f>
        <v>0</v>
      </c>
      <c r="Q14" s="27">
        <f t="array" ref="Q14">F14/MAX(IF($E$5:$E$26=$E14,F$5:F$26))</f>
        <v>0.77884628030794856</v>
      </c>
      <c r="R14" s="27">
        <f t="array" ref="R14">G14/MAX(IF($E$5:$E$26=$E14,G$5:G$26))</f>
        <v>0.59342440889878778</v>
      </c>
      <c r="S14" s="27">
        <f t="array" ref="S14">H14/MAX(IF($E$5:$E$26=$E14,H$5:H$26))</f>
        <v>0.79816524856751603</v>
      </c>
      <c r="T14" s="27">
        <f t="array" ref="T14">I14/MAX(IF($E$5:$E$26=$E14,I$5:I$26))</f>
        <v>0.15669395183652665</v>
      </c>
      <c r="U14" s="27">
        <f t="array" ref="U14">J14/MAX(IF($E$5:$E$26=$E14,J$5:J$26))</f>
        <v>0.24260621251476672</v>
      </c>
      <c r="V14" s="27">
        <f t="array" ref="V14">K14/MAX(IF($E$5:$E$26=$E14,K$5:K$26))</f>
        <v>0.30930683357120209</v>
      </c>
      <c r="W14" s="27">
        <f t="array" ref="W14">L14/MAX(IF($E$5:$E$26=$E14,L$5:L$26))</f>
        <v>0.95093622381509524</v>
      </c>
      <c r="X14" s="27">
        <f t="array" ref="X14">M14/MAX(IF($E$5:$E$26=$E14,M$5:M$26))</f>
        <v>0.90442418824294324</v>
      </c>
      <c r="Y14" s="27">
        <f t="array" ref="Y14">N14/MAX(IF($E$5:$E$26=$E14,N$5:N$26))</f>
        <v>0.93641503424112127</v>
      </c>
      <c r="Z14" s="27">
        <f t="array" ref="Z14">IF(O14="NC","NC",IF(O14=0,0,IF(O14&gt;0,O14/MAX(IF($E$5:$E$26=$E14,$O$5:$O$26,"ERROR")))))</f>
        <v>0</v>
      </c>
      <c r="AA14" s="28">
        <f t="array" ref="AA14">IF(P14=0,0,P14/MAX(IF($E$5:$E$26=$E14,$P$5:$P$26)))</f>
        <v>0</v>
      </c>
      <c r="AB14" s="10">
        <f t="shared" si="1"/>
        <v>0.51552894381780978</v>
      </c>
      <c r="AC14" s="10">
        <f t="array" ref="AC14">SUM(IF($E$5:$E$26=$E14,$AB$5:$AB$26,"ERROR"))</f>
        <v>7.0051757201043738</v>
      </c>
      <c r="AD14" s="32">
        <f t="shared" si="2"/>
        <v>7.3592578461419186E-2</v>
      </c>
      <c r="AE14" s="11">
        <f>VLOOKUP(E14,Categorías!$A$35:$C$37,3,0)</f>
        <v>30575659</v>
      </c>
      <c r="AF14" s="11">
        <f t="shared" si="3"/>
        <v>2250141.5839670976</v>
      </c>
      <c r="AG14" s="71">
        <f t="shared" si="4"/>
        <v>2250142</v>
      </c>
      <c r="AH14" s="71">
        <f t="shared" si="5"/>
        <v>2250141</v>
      </c>
      <c r="AI14" s="18">
        <f t="array" ref="AI14">AG14/(SUM(IF($C$5:$C$26=$C14,$AG$5:$AG$26,0)))</f>
        <v>4.3757760192114394E-2</v>
      </c>
    </row>
    <row r="15" spans="1:35" x14ac:dyDescent="0.25">
      <c r="A15" s="21" t="str">
        <f>Valores!A14</f>
        <v>UNIVERSIDAD ARTURO PRAT</v>
      </c>
      <c r="B15" s="22" t="str">
        <f>Valores!B14</f>
        <v>UAP</v>
      </c>
      <c r="C15" s="23" t="str">
        <f>Valores!C14</f>
        <v>CRUCH-ESTATAL</v>
      </c>
      <c r="D15" s="23" t="str">
        <f>Valores!D14</f>
        <v>Categoría II</v>
      </c>
      <c r="E15" s="23" t="str">
        <f t="shared" si="0"/>
        <v>CRUCH-ESTATALCategoría II</v>
      </c>
      <c r="F15" s="24">
        <f>IFERROR(Valores!E14/Valores!F14*100,0)</f>
        <v>2.6816089653792274</v>
      </c>
      <c r="G15" s="25">
        <f>IFERROR(Valores!G14/Valores!H14,0)</f>
        <v>0.22338121295029645</v>
      </c>
      <c r="H15" s="25">
        <f>IFERROR((Valores!G14+Valores!I14+Valores!J14)/(Valores!H14),0)</f>
        <v>0.70981532147742843</v>
      </c>
      <c r="I15" s="25">
        <f>IFERROR(Valores!K14/Valores!H14,0)</f>
        <v>0.37619699042407656</v>
      </c>
      <c r="J15" s="25">
        <f>IFERROR(Valores!K14/Valores!G14,0)</f>
        <v>1.6841030875223266</v>
      </c>
      <c r="K15" s="25">
        <f>IFERROR(Valores!L14/Valores!M14,0)</f>
        <v>8.2129514321295147</v>
      </c>
      <c r="L15" s="25">
        <f>IFERROR(Valores!N14/Valores!O14,0)</f>
        <v>0.70018281535648996</v>
      </c>
      <c r="M15" s="25">
        <f>IFERROR(Valores!P14/Valores!Q14,0)</f>
        <v>0.72812135355892649</v>
      </c>
      <c r="N15" s="25">
        <f>IFERROR(Valores!R14/Valores!S14,0)</f>
        <v>0.60435571687840295</v>
      </c>
      <c r="O15" s="25" t="str">
        <f>IF(Valores!W14&gt;0,Valores!T14/Valores!W14,IF(AND(Valores!W14=0,OR(Valores!V14&gt;0,Valores!U14&gt;0)),0,IF(AND(Valores!V14=0,Valores!W14=0,Valores!U14=0),"NC",)))</f>
        <v>NC</v>
      </c>
      <c r="P15" s="26">
        <f>IFERROR((Valores!X14+Valores!Y14)*1000/(Valores!H14),0)</f>
        <v>0</v>
      </c>
      <c r="Q15" s="27">
        <f t="array" ref="Q15">F15/MAX(IF($E$5:$E$26=$E15,F$5:F$26))</f>
        <v>0.45779704109385455</v>
      </c>
      <c r="R15" s="27">
        <f t="array" ref="R15">G15/MAX(IF($E$5:$E$26=$E15,G$5:G$26))</f>
        <v>0.38262643412537406</v>
      </c>
      <c r="S15" s="27">
        <f t="array" ref="S15">H15/MAX(IF($E$5:$E$26=$E15,H$5:H$26))</f>
        <v>0.75795931719502796</v>
      </c>
      <c r="T15" s="27">
        <f t="array" ref="T15">I15/MAX(IF($E$5:$E$26=$E15,I$5:I$26))</f>
        <v>0.18436268312634788</v>
      </c>
      <c r="U15" s="27">
        <f t="array" ref="U15">J15/MAX(IF($E$5:$E$26=$E15,J$5:J$26))</f>
        <v>0.4427036877296221</v>
      </c>
      <c r="V15" s="27">
        <f t="array" ref="V15">K15/MAX(IF($E$5:$E$26=$E15,K$5:K$26))</f>
        <v>0.54226360173468591</v>
      </c>
      <c r="W15" s="27">
        <f t="array" ref="W15">L15/MAX(IF($E$5:$E$26=$E15,L$5:L$26))</f>
        <v>0.86018266205220784</v>
      </c>
      <c r="X15" s="27">
        <f t="array" ref="X15">M15/MAX(IF($E$5:$E$26=$E15,M$5:M$26))</f>
        <v>0.80740971375528514</v>
      </c>
      <c r="Y15" s="27">
        <f t="array" ref="Y15">N15/MAX(IF($E$5:$E$26=$E15,N$5:N$26))</f>
        <v>0.78643724696356287</v>
      </c>
      <c r="Z15" s="27" t="str">
        <f t="array" ref="Z15">IF(O15="NC","NC",IF(O15=0,0,IF(O15&gt;0,O15/MAX(IF($E$5:$E$26=$E15,$O$5:$O$26,"ERROR")))))</f>
        <v>NC</v>
      </c>
      <c r="AA15" s="28">
        <f t="array" ref="AA15">IF(P15=0,0,P15/MAX(IF($E$5:$E$26=$E15,$P$5:$P$26)))</f>
        <v>0</v>
      </c>
      <c r="AB15" s="10">
        <f t="shared" si="1"/>
        <v>0.52217423877759672</v>
      </c>
      <c r="AC15" s="10">
        <f t="array" ref="AC15">SUM(IF($E$5:$E$26=$E15,$AB$5:$AB$26,"ERROR"))</f>
        <v>7.0051757201043738</v>
      </c>
      <c r="AD15" s="32">
        <f t="shared" si="2"/>
        <v>7.4541204909249092E-2</v>
      </c>
      <c r="AE15" s="11">
        <f>VLOOKUP(E15,Categorías!$A$35:$C$37,3,0)</f>
        <v>30575659</v>
      </c>
      <c r="AF15" s="11">
        <f t="shared" si="3"/>
        <v>2279146.4627543264</v>
      </c>
      <c r="AG15" s="71">
        <f t="shared" si="4"/>
        <v>2279146</v>
      </c>
      <c r="AH15" s="71">
        <f t="shared" si="5"/>
        <v>2279146</v>
      </c>
      <c r="AI15" s="18">
        <f t="array" ref="AI15">AG15/(SUM(IF($C$5:$C$26=$C15,$AG$5:$AG$26,0)))</f>
        <v>4.4321791296201195E-2</v>
      </c>
    </row>
    <row r="16" spans="1:35" x14ac:dyDescent="0.25">
      <c r="A16" s="21" t="str">
        <f>Valores!A15</f>
        <v>UNIVERSIDAD DE ATACAMA</v>
      </c>
      <c r="B16" s="22" t="str">
        <f>Valores!B15</f>
        <v>ATA</v>
      </c>
      <c r="C16" s="23" t="str">
        <f>Valores!C15</f>
        <v>CRUCH-ESTATAL</v>
      </c>
      <c r="D16" s="23" t="str">
        <f>Valores!D15</f>
        <v>Categoría II</v>
      </c>
      <c r="E16" s="23" t="str">
        <f t="shared" si="0"/>
        <v>CRUCH-ESTATALCategoría II</v>
      </c>
      <c r="F16" s="24">
        <f>IFERROR(Valores!E15/Valores!F15*100,0)</f>
        <v>4.2901716068642743</v>
      </c>
      <c r="G16" s="25">
        <f>IFERROR(Valores!G15/Valores!H15,0)</f>
        <v>0.29293680297397767</v>
      </c>
      <c r="H16" s="25">
        <f>IFERROR((Valores!G15+Valores!I15+Valores!J15)/(Valores!H15),0)</f>
        <v>0.63048327137546467</v>
      </c>
      <c r="I16" s="25">
        <f>IFERROR(Valores!K15/Valores!H15,0)</f>
        <v>0.63345724907063194</v>
      </c>
      <c r="J16" s="25">
        <f>IFERROR(Valores!K15/Valores!G15,0)</f>
        <v>2.1624365482233503</v>
      </c>
      <c r="K16" s="25">
        <f>IFERROR(Valores!L15/Valores!M15,0)</f>
        <v>9.9862763037511435</v>
      </c>
      <c r="L16" s="25">
        <f>IFERROR(Valores!N15/Valores!O15,0)</f>
        <v>0.65394622723330442</v>
      </c>
      <c r="M16" s="25">
        <f>IFERROR(Valores!P15/Valores!Q15,0)</f>
        <v>0.78674948240165632</v>
      </c>
      <c r="N16" s="25">
        <f>IFERROR(Valores!R15/Valores!S15,0)</f>
        <v>0.67829021372328457</v>
      </c>
      <c r="O16" s="25">
        <f>IF(Valores!W15&gt;0,Valores!T15/Valores!W15,IF(AND(Valores!W15=0,OR(Valores!V15&gt;0,Valores!U15&gt;0)),0,IF(AND(Valores!V15=0,Valores!W15=0,Valores!U15=0),"NC",)))</f>
        <v>0</v>
      </c>
      <c r="P16" s="26">
        <f>IFERROR((Valores!X15+Valores!Y15)*1000/(Valores!H15),0)</f>
        <v>0</v>
      </c>
      <c r="Q16" s="27">
        <f t="array" ref="Q16">F16/MAX(IF($E$5:$E$26=$E16,F$5:F$26))</f>
        <v>0.73240651145033131</v>
      </c>
      <c r="R16" s="27">
        <f t="array" ref="R16">G16/MAX(IF($E$5:$E$26=$E16,G$5:G$26))</f>
        <v>0.50176719369394751</v>
      </c>
      <c r="S16" s="27">
        <f t="array" ref="S16">H16/MAX(IF($E$5:$E$26=$E16,H$5:H$26))</f>
        <v>0.67324648456440928</v>
      </c>
      <c r="T16" s="27">
        <f t="array" ref="T16">I16/MAX(IF($E$5:$E$26=$E16,I$5:I$26))</f>
        <v>0.31043809774460823</v>
      </c>
      <c r="U16" s="27">
        <f t="array" ref="U16">J16/MAX(IF($E$5:$E$26=$E16,J$5:J$26))</f>
        <v>0.56844420123248574</v>
      </c>
      <c r="V16" s="27">
        <f t="array" ref="V16">K16/MAX(IF($E$5:$E$26=$E16,K$5:K$26))</f>
        <v>0.6593481285187327</v>
      </c>
      <c r="W16" s="27">
        <f t="array" ref="W16">L16/MAX(IF($E$5:$E$26=$E16,L$5:L$26))</f>
        <v>0.80338048041659615</v>
      </c>
      <c r="X16" s="27">
        <f t="array" ref="X16">M16/MAX(IF($E$5:$E$26=$E16,M$5:M$26))</f>
        <v>0.87242211930491231</v>
      </c>
      <c r="Y16" s="27">
        <f t="array" ref="Y16">N16/MAX(IF($E$5:$E$26=$E16,N$5:N$26))</f>
        <v>0.88264688067837682</v>
      </c>
      <c r="Z16" s="27">
        <f t="array" ref="Z16">IF(O16="NC","NC",IF(O16=0,0,IF(O16&gt;0,O16/MAX(IF($E$5:$E$26=$E16,$O$5:$O$26,"ERROR")))))</f>
        <v>0</v>
      </c>
      <c r="AA16" s="28">
        <f t="array" ref="AA16">IF(P16=0,0,P16/MAX(IF($E$5:$E$26=$E16,$P$5:$P$26)))</f>
        <v>0</v>
      </c>
      <c r="AB16" s="10">
        <f t="shared" si="1"/>
        <v>0.54582728160039995</v>
      </c>
      <c r="AC16" s="10">
        <f t="array" ref="AC16">SUM(IF($E$5:$E$26=$E16,$AB$5:$AB$26,"ERROR"))</f>
        <v>7.0051757201043738</v>
      </c>
      <c r="AD16" s="32">
        <f t="shared" si="2"/>
        <v>7.7917714474158462E-2</v>
      </c>
      <c r="AE16" s="11">
        <f>VLOOKUP(E16,Categorías!$A$35:$C$37,3,0)</f>
        <v>30575659</v>
      </c>
      <c r="AF16" s="11">
        <f t="shared" si="3"/>
        <v>2382385.4678212334</v>
      </c>
      <c r="AG16" s="71">
        <f t="shared" si="4"/>
        <v>2382385</v>
      </c>
      <c r="AH16" s="71">
        <f t="shared" si="5"/>
        <v>2382385</v>
      </c>
      <c r="AI16" s="18">
        <f t="array" ref="AI16">AG16/(SUM(IF($C$5:$C$26=$C16,$AG$5:$AG$26,0)))</f>
        <v>4.6329445659558571E-2</v>
      </c>
    </row>
    <row r="17" spans="1:35" x14ac:dyDescent="0.25">
      <c r="A17" s="21" t="str">
        <f>Valores!A16</f>
        <v>UNIVERSIDAD DE LOS LAGOS</v>
      </c>
      <c r="B17" s="22" t="str">
        <f>Valores!B16</f>
        <v>ULA</v>
      </c>
      <c r="C17" s="23" t="str">
        <f>Valores!C16</f>
        <v>CRUCH-ESTATAL</v>
      </c>
      <c r="D17" s="23" t="str">
        <f>Valores!D16</f>
        <v>Categoría II</v>
      </c>
      <c r="E17" s="23" t="str">
        <f t="shared" si="0"/>
        <v>CRUCH-ESTATALCategoría II</v>
      </c>
      <c r="F17" s="24">
        <f>IFERROR(Valores!E16/Valores!F16*100,0)</f>
        <v>3.8180019782393666</v>
      </c>
      <c r="G17" s="25">
        <f>IFERROR(Valores!G16/Valores!H16,0)</f>
        <v>0.30127087367216165</v>
      </c>
      <c r="H17" s="25">
        <f>IFERROR((Valores!G16+Valores!I16+Valores!J16)/(Valores!H16),0)</f>
        <v>0.7504475158413475</v>
      </c>
      <c r="I17" s="25">
        <f>IFERROR(Valores!K16/Valores!H16,0)</f>
        <v>0.4451980302171254</v>
      </c>
      <c r="J17" s="25">
        <f>IFERROR(Valores!K16/Valores!G16,0)</f>
        <v>1.4777333925136853</v>
      </c>
      <c r="K17" s="25">
        <f>IFERROR(Valores!L16/Valores!M16,0)</f>
        <v>7.9316170555108609</v>
      </c>
      <c r="L17" s="25">
        <f>IFERROR(Valores!N16/Valores!O16,0)</f>
        <v>0.81399317406143346</v>
      </c>
      <c r="M17" s="25">
        <f>IFERROR(Valores!P16/Valores!Q16,0)</f>
        <v>0.90179910044977507</v>
      </c>
      <c r="N17" s="25">
        <f>IFERROR(Valores!R16/Valores!S16,0)</f>
        <v>0.74946466809421841</v>
      </c>
      <c r="O17" s="25">
        <f>IF(Valores!W16&gt;0,Valores!T16/Valores!W16,IF(AND(Valores!W16=0,OR(Valores!V16&gt;0,Valores!U16&gt;0)),0,IF(AND(Valores!V16=0,Valores!W16=0,Valores!U16=0),"NC",)))</f>
        <v>0</v>
      </c>
      <c r="P17" s="26">
        <f>IFERROR((Valores!X16+Valores!Y16)*1000/(Valores!H16),0)</f>
        <v>0</v>
      </c>
      <c r="Q17" s="27">
        <f t="array" ref="Q17">F17/MAX(IF($E$5:$E$26=$E17,F$5:F$26))</f>
        <v>0.65179898750871201</v>
      </c>
      <c r="R17" s="27">
        <f t="array" ref="R17">G17/MAX(IF($E$5:$E$26=$E17,G$5:G$26))</f>
        <v>0.51604250230597681</v>
      </c>
      <c r="S17" s="27">
        <f t="array" ref="S17">H17/MAX(IF($E$5:$E$26=$E17,H$5:H$26))</f>
        <v>0.80134743430710853</v>
      </c>
      <c r="T17" s="27">
        <f t="array" ref="T17">I17/MAX(IF($E$5:$E$26=$E17,I$5:I$26))</f>
        <v>0.21817799042164043</v>
      </c>
      <c r="U17" s="27">
        <f t="array" ref="U17">J17/MAX(IF($E$5:$E$26=$E17,J$5:J$26))</f>
        <v>0.38845485599665863</v>
      </c>
      <c r="V17" s="27">
        <f t="array" ref="V17">K17/MAX(IF($E$5:$E$26=$E17,K$5:K$26))</f>
        <v>0.52368838019371822</v>
      </c>
      <c r="W17" s="27">
        <f t="array" ref="W17">L17/MAX(IF($E$5:$E$26=$E17,L$5:L$26))</f>
        <v>1</v>
      </c>
      <c r="X17" s="27">
        <f t="array" ref="X17">M17/MAX(IF($E$5:$E$26=$E17,M$5:M$26))</f>
        <v>1</v>
      </c>
      <c r="Y17" s="27">
        <f t="array" ref="Y17">N17/MAX(IF($E$5:$E$26=$E17,N$5:N$26))</f>
        <v>0.97526492066106629</v>
      </c>
      <c r="Z17" s="27">
        <f t="array" ref="Z17">IF(O17="NC","NC",IF(O17=0,0,IF(O17&gt;0,O17/MAX(IF($E$5:$E$26=$E17,$O$5:$O$26,"ERROR")))))</f>
        <v>0</v>
      </c>
      <c r="AA17" s="28">
        <f t="array" ref="AA17">IF(P17=0,0,P17/MAX(IF($E$5:$E$26=$E17,$P$5:$P$26)))</f>
        <v>0</v>
      </c>
      <c r="AB17" s="10">
        <f t="shared" si="1"/>
        <v>0.55225227921771658</v>
      </c>
      <c r="AC17" s="10">
        <f t="array" ref="AC17">SUM(IF($E$5:$E$26=$E17,$AB$5:$AB$26,"ERROR"))</f>
        <v>7.0051757201043738</v>
      </c>
      <c r="AD17" s="32">
        <f t="shared" si="2"/>
        <v>7.8834893125206043E-2</v>
      </c>
      <c r="AE17" s="11">
        <f>VLOOKUP(E17,Categorías!$A$35:$C$37,3,0)</f>
        <v>30575659</v>
      </c>
      <c r="AF17" s="11">
        <f t="shared" si="3"/>
        <v>2410428.8094977443</v>
      </c>
      <c r="AG17" s="71">
        <f t="shared" si="4"/>
        <v>2410429</v>
      </c>
      <c r="AH17" s="71">
        <f t="shared" si="5"/>
        <v>2410428</v>
      </c>
      <c r="AI17" s="18">
        <f t="array" ref="AI17">AG17/(SUM(IF($C$5:$C$26=$C17,$AG$5:$AG$26,0)))</f>
        <v>4.6874807964172087E-2</v>
      </c>
    </row>
    <row r="18" spans="1:35" x14ac:dyDescent="0.25">
      <c r="A18" s="21" t="str">
        <f>Valores!A17</f>
        <v>UNIVERSIDAD DE MAGALLANES</v>
      </c>
      <c r="B18" s="22" t="str">
        <f>Valores!B17</f>
        <v>MAG</v>
      </c>
      <c r="C18" s="23" t="str">
        <f>Valores!C17</f>
        <v>CRUCH-ESTATAL</v>
      </c>
      <c r="D18" s="23" t="str">
        <f>Valores!D17</f>
        <v>Categoría II</v>
      </c>
      <c r="E18" s="23" t="str">
        <f t="shared" si="0"/>
        <v>CRUCH-ESTATALCategoría II</v>
      </c>
      <c r="F18" s="24">
        <f>IFERROR(Valores!E17/Valores!F17*100,0)</f>
        <v>5.8576371725160659</v>
      </c>
      <c r="G18" s="25">
        <f>IFERROR(Valores!G17/Valores!H17,0)</f>
        <v>0.32733795106451047</v>
      </c>
      <c r="H18" s="25">
        <f>IFERROR((Valores!G17+Valores!I17+Valores!J17)/(Valores!H17),0)</f>
        <v>0.61679564922017383</v>
      </c>
      <c r="I18" s="25">
        <f>IFERROR(Valores!K17/Valores!H17,0)</f>
        <v>0.55987893732274641</v>
      </c>
      <c r="J18" s="25">
        <f>IFERROR(Valores!K17/Valores!G17,0)</f>
        <v>1.7104003232805953</v>
      </c>
      <c r="K18" s="25">
        <f>IFERROR(Valores!L17/Valores!M17,0)</f>
        <v>12.005966587112171</v>
      </c>
      <c r="L18" s="25">
        <f>IFERROR(Valores!N17/Valores!O17,0)</f>
        <v>0.54140127388535031</v>
      </c>
      <c r="M18" s="25">
        <f>IFERROR(Valores!P17/Valores!Q17,0)</f>
        <v>0.84905660377358494</v>
      </c>
      <c r="N18" s="25">
        <f>IFERROR(Valores!R17/Valores!S17,0)</f>
        <v>0.69611307420494695</v>
      </c>
      <c r="O18" s="25">
        <f>IF(Valores!W17&gt;0,Valores!T17/Valores!W17,IF(AND(Valores!W17=0,OR(Valores!V17&gt;0,Valores!U17&gt;0)),0,IF(AND(Valores!V17=0,Valores!W17=0,Valores!U17=0),"NC",)))</f>
        <v>0</v>
      </c>
      <c r="P18" s="26">
        <f>IFERROR((Valores!X17+Valores!Y17)*1000/(Valores!H17),0)</f>
        <v>3.1631578379816179</v>
      </c>
      <c r="Q18" s="27">
        <f t="array" ref="Q18">F18/MAX(IF($E$5:$E$26=$E18,F$5:F$26))</f>
        <v>1</v>
      </c>
      <c r="R18" s="27">
        <f t="array" ref="R18">G18/MAX(IF($E$5:$E$26=$E18,G$5:G$26))</f>
        <v>0.56069242043908241</v>
      </c>
      <c r="S18" s="27">
        <f t="array" ref="S18">H18/MAX(IF($E$5:$E$26=$E18,H$5:H$26))</f>
        <v>0.65863048455858564</v>
      </c>
      <c r="T18" s="27">
        <f t="array" ref="T18">I18/MAX(IF($E$5:$E$26=$E18,I$5:I$26))</f>
        <v>0.27437960892348423</v>
      </c>
      <c r="U18" s="27">
        <f t="array" ref="U18">J18/MAX(IF($E$5:$E$26=$E18,J$5:J$26))</f>
        <v>0.44961649688812111</v>
      </c>
      <c r="V18" s="27">
        <f t="array" ref="V18">K18/MAX(IF($E$5:$E$26=$E18,K$5:K$26))</f>
        <v>0.79269903610591252</v>
      </c>
      <c r="W18" s="27">
        <f t="array" ref="W18">L18/MAX(IF($E$5:$E$26=$E18,L$5:L$26))</f>
        <v>0.66511770754049326</v>
      </c>
      <c r="X18" s="27">
        <f t="array" ref="X18">M18/MAX(IF($E$5:$E$26=$E18,M$5:M$26))</f>
        <v>0.9415141391803511</v>
      </c>
      <c r="Y18" s="27">
        <f t="array" ref="Y18">N18/MAX(IF($E$5:$E$26=$E18,N$5:N$26))</f>
        <v>0.90583944912566816</v>
      </c>
      <c r="Z18" s="27">
        <f t="array" ref="Z18">IF(O18="NC","NC",IF(O18=0,0,IF(O18&gt;0,O18/MAX(IF($E$5:$E$26=$E18,$O$5:$O$26,"ERROR")))))</f>
        <v>0</v>
      </c>
      <c r="AA18" s="28">
        <f t="array" ref="AA18">IF(P18=0,0,P18/MAX(IF($E$5:$E$26=$E18,$P$5:$P$26)))</f>
        <v>0.30654558002609605</v>
      </c>
      <c r="AB18" s="10">
        <f t="shared" si="1"/>
        <v>0.59591226570798139</v>
      </c>
      <c r="AC18" s="10">
        <f t="array" ref="AC18">SUM(IF($E$5:$E$26=$E18,$AB$5:$AB$26,"ERROR"))</f>
        <v>7.0051757201043738</v>
      </c>
      <c r="AD18" s="32">
        <f t="shared" si="2"/>
        <v>8.5067425788871234E-2</v>
      </c>
      <c r="AE18" s="11">
        <f>VLOOKUP(E18,Categorías!$A$35:$C$37,3,0)</f>
        <v>30575659</v>
      </c>
      <c r="AF18" s="11">
        <f t="shared" si="3"/>
        <v>2600992.602928333</v>
      </c>
      <c r="AG18" s="71">
        <f t="shared" si="4"/>
        <v>2600993</v>
      </c>
      <c r="AH18" s="71">
        <f t="shared" si="5"/>
        <v>2600992</v>
      </c>
      <c r="AI18" s="18">
        <f t="array" ref="AI18">AG18/(SUM(IF($C$5:$C$26=$C18,$AG$5:$AG$26,0)))</f>
        <v>5.058064244628481E-2</v>
      </c>
    </row>
    <row r="19" spans="1:35" x14ac:dyDescent="0.25">
      <c r="A19" s="21" t="str">
        <f>Valores!A18</f>
        <v>UNIVERSIDAD METROPOLITANA DE CS.DE LA EDUCACIÓN</v>
      </c>
      <c r="B19" s="22" t="str">
        <f>Valores!B18</f>
        <v>UMC</v>
      </c>
      <c r="C19" s="23" t="str">
        <f>Valores!C18</f>
        <v>CRUCH-ESTATAL</v>
      </c>
      <c r="D19" s="23" t="str">
        <f>Valores!D18</f>
        <v>Categoría III</v>
      </c>
      <c r="E19" s="23" t="str">
        <f t="shared" si="0"/>
        <v>CRUCH-ESTATALCategoría III</v>
      </c>
      <c r="F19" s="24">
        <f>IFERROR(Valores!E18/Valores!F18*100,0)</f>
        <v>5.9033989266547406</v>
      </c>
      <c r="G19" s="25">
        <f>IFERROR(Valores!G18/Valores!H18,0)</f>
        <v>0.34207529804584674</v>
      </c>
      <c r="H19" s="25">
        <f>IFERROR((Valores!G18+Valores!I18+Valores!J18)/(Valores!H18),0)</f>
        <v>0.75699578348066188</v>
      </c>
      <c r="I19" s="25">
        <f>IFERROR(Valores!K18/Valores!H18,0)</f>
        <v>0.30764181702731824</v>
      </c>
      <c r="J19" s="25">
        <f>IFERROR(Valores!K18/Valores!G18,0)</f>
        <v>0.89933946936468501</v>
      </c>
      <c r="K19" s="25">
        <f>IFERROR(Valores!L18/Valores!M18,0)</f>
        <v>4.2624768946395566</v>
      </c>
      <c r="L19" s="25">
        <f>IFERROR(Valores!N18/Valores!O18,0)</f>
        <v>0.66791979949874691</v>
      </c>
      <c r="M19" s="25">
        <f>IFERROR(Valores!P18/Valores!Q18,0)</f>
        <v>0.8571428571428571</v>
      </c>
      <c r="N19" s="25">
        <f>IFERROR(Valores!R18/Valores!S18,0)</f>
        <v>0.7415730337078652</v>
      </c>
      <c r="O19" s="25">
        <f>IF(Valores!W18&gt;0,Valores!T18/Valores!W18,IF(AND(Valores!W18=0,OR(Valores!V18&gt;0,Valores!U18&gt;0)),0,IF(AND(Valores!V18=0,Valores!W18=0,Valores!U18=0),"NC",)))</f>
        <v>0.55555555555555558</v>
      </c>
      <c r="P19" s="26">
        <f>IFERROR((Valores!X18+Valores!Y18)*1000/(Valores!H18),0)</f>
        <v>0</v>
      </c>
      <c r="Q19" s="27">
        <f t="array" ref="Q19">F19/MAX(IF($E$5:$E$26=$E19,F$5:F$26))</f>
        <v>0.60140876565295165</v>
      </c>
      <c r="R19" s="27">
        <f t="array" ref="R19">G19/MAX(IF($E$5:$E$26=$E19,G$5:G$26))</f>
        <v>0.74907706909189675</v>
      </c>
      <c r="S19" s="27">
        <f t="array" ref="S19">H19/MAX(IF($E$5:$E$26=$E19,H$5:H$26))</f>
        <v>1</v>
      </c>
      <c r="T19" s="27">
        <f t="array" ref="T19">I19/MAX(IF($E$5:$E$26=$E19,I$5:I$26))</f>
        <v>0.45023413216516917</v>
      </c>
      <c r="U19" s="27">
        <f t="array" ref="U19">J19/MAX(IF($E$5:$E$26=$E19,J$5:J$26))</f>
        <v>0.42008107681579798</v>
      </c>
      <c r="V19" s="27">
        <f t="array" ref="V19">K19/MAX(IF($E$5:$E$26=$E19,K$5:K$26))</f>
        <v>0.36959297660308765</v>
      </c>
      <c r="W19" s="27">
        <f t="array" ref="W19">L19/MAX(IF($E$5:$E$26=$E19,L$5:L$26))</f>
        <v>0.89818552337657254</v>
      </c>
      <c r="X19" s="27">
        <f t="array" ref="X19">M19/MAX(IF($E$5:$E$26=$E19,M$5:M$26))</f>
        <v>1</v>
      </c>
      <c r="Y19" s="27">
        <f t="array" ref="Y19">N19/MAX(IF($E$5:$E$26=$E19,N$5:N$26))</f>
        <v>0.96033312991348685</v>
      </c>
      <c r="Z19" s="27">
        <f t="array" ref="Z19">IF(O19="NC","NC",IF(O19=0,0,IF(O19&gt;0,O19/MAX(IF($E$5:$E$26=$E19,$O$5:$O$26,"ERROR")))))</f>
        <v>1</v>
      </c>
      <c r="AA19" s="28">
        <f t="array" ref="AA19">IF(P19=0,0,P19/MAX(IF($E$5:$E$26=$E19,$P$5:$P$26)))</f>
        <v>0</v>
      </c>
      <c r="AB19" s="10">
        <f t="shared" si="1"/>
        <v>0.67717387941990559</v>
      </c>
      <c r="AC19" s="10">
        <f t="array" ref="AC19">SUM(IF($E$5:$E$26=$E19,$AB$5:$AB$26,"ERROR"))</f>
        <v>2.1753892653802271</v>
      </c>
      <c r="AD19" s="32">
        <f t="shared" si="2"/>
        <v>0.31128860025037641</v>
      </c>
      <c r="AE19" s="11">
        <f>VLOOKUP(E19,Categorías!$A$35:$C$37,3,0)</f>
        <v>4169408</v>
      </c>
      <c r="AF19" s="11">
        <f t="shared" si="3"/>
        <v>1297889.1801927213</v>
      </c>
      <c r="AG19" s="71">
        <f t="shared" si="4"/>
        <v>1297889</v>
      </c>
      <c r="AH19" s="71">
        <f t="shared" si="5"/>
        <v>1297889</v>
      </c>
      <c r="AI19" s="18">
        <f t="array" ref="AI19">AG19/(SUM(IF($C$5:$C$26=$C19,$AG$5:$AG$26,0)))</f>
        <v>2.5239614041239689E-2</v>
      </c>
    </row>
    <row r="20" spans="1:35" x14ac:dyDescent="0.25">
      <c r="A20" s="21" t="str">
        <f>Valores!A19</f>
        <v>UNIVERSIDAD TECNOLÓGICA METROPOLITANA</v>
      </c>
      <c r="B20" s="22" t="str">
        <f>Valores!B19</f>
        <v>UTM</v>
      </c>
      <c r="C20" s="23" t="str">
        <f>Valores!C19</f>
        <v>CRUCH-ESTATAL</v>
      </c>
      <c r="D20" s="23" t="str">
        <f>Valores!D19</f>
        <v>Categoría II</v>
      </c>
      <c r="E20" s="23" t="str">
        <f t="shared" si="0"/>
        <v>CRUCH-ESTATALCategoría II</v>
      </c>
      <c r="F20" s="24">
        <f>IFERROR(Valores!E19/Valores!F19*100,0)</f>
        <v>2.6648819664151864</v>
      </c>
      <c r="G20" s="25">
        <f>IFERROR(Valores!G19/Valores!H19,0)</f>
        <v>0.36460502143294526</v>
      </c>
      <c r="H20" s="25">
        <f>IFERROR((Valores!G19+Valores!I19+Valores!J19)/(Valores!H19),0)</f>
        <v>0.77446417636252307</v>
      </c>
      <c r="I20" s="25">
        <f>IFERROR(Valores!K19/Valores!H19,0)</f>
        <v>0.61971830985915433</v>
      </c>
      <c r="J20" s="25">
        <f>IFERROR(Valores!K19/Valores!G19,0)</f>
        <v>1.699697682230433</v>
      </c>
      <c r="K20" s="25">
        <f>IFERROR(Valores!L19/Valores!M19,0)</f>
        <v>8.7558635394456292</v>
      </c>
      <c r="L20" s="25">
        <f>IFERROR(Valores!N19/Valores!O19,0)</f>
        <v>0.79426129426129422</v>
      </c>
      <c r="M20" s="25">
        <f>IFERROR(Valores!P19/Valores!Q19,0)</f>
        <v>0.70538838348495447</v>
      </c>
      <c r="N20" s="25">
        <f>IFERROR(Valores!R19/Valores!S19,0)</f>
        <v>0.65829145728643212</v>
      </c>
      <c r="O20" s="25" t="str">
        <f>IF(Valores!W19&gt;0,Valores!T19/Valores!W19,IF(AND(Valores!W19=0,OR(Valores!V19&gt;0,Valores!U19&gt;0)),0,IF(AND(Valores!V19=0,Valores!W19=0,Valores!U19=0),"NC",)))</f>
        <v>NC</v>
      </c>
      <c r="P20" s="26">
        <f>IFERROR((Valores!X19+Valores!Y19)*1000/(Valores!H19),0)</f>
        <v>2.6944274341702363</v>
      </c>
      <c r="Q20" s="27">
        <f t="array" ref="Q20">F20/MAX(IF($E$5:$E$26=$E20,F$5:F$26))</f>
        <v>0.45494145300066846</v>
      </c>
      <c r="R20" s="27">
        <f t="array" ref="R20">G20/MAX(IF($E$5:$E$26=$E20,G$5:G$26))</f>
        <v>0.62452664381464618</v>
      </c>
      <c r="S20" s="27">
        <f t="array" ref="S20">H20/MAX(IF($E$5:$E$26=$E20,H$5:H$26))</f>
        <v>0.82699305093319853</v>
      </c>
      <c r="T20" s="27">
        <f t="array" ref="T20">I20/MAX(IF($E$5:$E$26=$E20,I$5:I$26))</f>
        <v>0.30370506223179761</v>
      </c>
      <c r="U20" s="27">
        <f t="array" ref="U20">J20/MAX(IF($E$5:$E$26=$E20,J$5:J$26))</f>
        <v>0.44680307133450847</v>
      </c>
      <c r="V20" s="27">
        <f t="array" ref="V20">K20/MAX(IF($E$5:$E$26=$E20,K$5:K$26))</f>
        <v>0.57810960389012178</v>
      </c>
      <c r="W20" s="27">
        <f t="array" ref="W20">L20/MAX(IF($E$5:$E$26=$E20,L$5:L$26))</f>
        <v>0.9757591581490952</v>
      </c>
      <c r="X20" s="27">
        <f t="array" ref="X20">M20/MAX(IF($E$5:$E$26=$E20,M$5:M$26))</f>
        <v>0.78220124984948403</v>
      </c>
      <c r="Y20" s="27">
        <f t="array" ref="Y20">N20/MAX(IF($E$5:$E$26=$E20,N$5:N$26))</f>
        <v>0.85662285787913928</v>
      </c>
      <c r="Z20" s="27" t="str">
        <f t="array" ref="Z20">IF(O20="NC","NC",IF(O20=0,0,IF(O20&gt;0,O20/MAX(IF($E$5:$E$26=$E20,$O$5:$O$26,"ERROR")))))</f>
        <v>NC</v>
      </c>
      <c r="AA20" s="28">
        <f t="array" ref="AA20">IF(P20=0,0,P20/MAX(IF($E$5:$E$26=$E20,$P$5:$P$26)))</f>
        <v>0.26112033067973028</v>
      </c>
      <c r="AB20" s="10">
        <f>IF(Z20="NC",(SUM(Q20:Y20)+AA20)/(COUNTA(Q20:Y20)+COUNTA(AA20)),AVERAGE(Q20:AA20))</f>
        <v>0.6110782481762389</v>
      </c>
      <c r="AC20" s="10">
        <f t="array" ref="AC20">SUM(IF($E$5:$E$26=$E20,$AB$5:$AB$26,"ERROR"))</f>
        <v>7.0051757201043738</v>
      </c>
      <c r="AD20" s="32">
        <f>AB20/AC20</f>
        <v>8.723239396015238E-2</v>
      </c>
      <c r="AE20" s="11">
        <f>VLOOKUP(E20,Categorías!$A$35:$C$37,3,0)</f>
        <v>30575659</v>
      </c>
      <c r="AF20" s="11">
        <f t="shared" si="3"/>
        <v>2667187.931479279</v>
      </c>
      <c r="AG20" s="71">
        <f t="shared" si="4"/>
        <v>2667188</v>
      </c>
      <c r="AH20" s="71">
        <f t="shared" si="5"/>
        <v>2667187</v>
      </c>
      <c r="AI20" s="18">
        <f t="array" ref="AI20">AG20/(SUM(IF($C$5:$C$26=$C20,$AG$5:$AG$26,0)))</f>
        <v>5.186791450996657E-2</v>
      </c>
    </row>
    <row r="21" spans="1:35" x14ac:dyDescent="0.25">
      <c r="A21" s="21" t="str">
        <f>Valores!A20</f>
        <v>U. DE O'HIGGINS</v>
      </c>
      <c r="B21" s="22" t="str">
        <f>Valores!B20</f>
        <v>URO</v>
      </c>
      <c r="C21" s="23" t="str">
        <f>Valores!C20</f>
        <v>CRUCH-ESTATAL</v>
      </c>
      <c r="D21" s="23" t="str">
        <f>Valores!D20</f>
        <v>Categoría III</v>
      </c>
      <c r="E21" s="23" t="str">
        <f t="shared" ref="E21" si="6">CONCATENATE(C21,D21)</f>
        <v>CRUCH-ESTATALCategoría III</v>
      </c>
      <c r="F21" s="24">
        <f>IFERROR(Valores!E20/Valores!F20*100,0)</f>
        <v>2.4338796040889177</v>
      </c>
      <c r="G21" s="25">
        <f>IFERROR(Valores!G20/Valores!H20,0)</f>
        <v>0.31916585014142812</v>
      </c>
      <c r="H21" s="25">
        <f>IFERROR((Valores!G20+Valores!I20+Valores!J20)/(Valores!H20),0)</f>
        <v>0.56828307851583437</v>
      </c>
      <c r="I21" s="25">
        <f>IFERROR(Valores!K20/Valores!H20,0)</f>
        <v>0.68329296925551464</v>
      </c>
      <c r="J21" s="25">
        <f>IFERROR(Valores!K20/Valores!G20,0)</f>
        <v>2.1408711770157591</v>
      </c>
      <c r="K21" s="25">
        <f>IFERROR(Valores!L20/Valores!M20,0)</f>
        <v>8.0632911392405067</v>
      </c>
      <c r="L21" s="25">
        <f>IFERROR(Valores!N20/Valores!O20,0)</f>
        <v>0.74363233665559247</v>
      </c>
      <c r="M21" s="25">
        <f>IFERROR(Valores!P20/Valores!Q20,0)</f>
        <v>0.84803558191252781</v>
      </c>
      <c r="N21" s="25">
        <f>IFERROR(Valores!R20/Valores!S20,0)</f>
        <v>0.77220394736842102</v>
      </c>
      <c r="O21" s="25" t="str">
        <f>IF(Valores!W20&gt;0,Valores!T20/Valores!W20,IF(AND(Valores!W20=0,OR(Valores!V20&gt;0,Valores!U20&gt;0)),0,IF(AND(Valores!V20=0,Valores!W20=0,Valores!U20=0),"NC",)))</f>
        <v>NC</v>
      </c>
      <c r="P21" s="26">
        <f>IFERROR((Valores!X20+Valores!Y20)*1000/(Valores!H20),0)</f>
        <v>0</v>
      </c>
      <c r="Q21" s="27">
        <f t="array" ref="Q21">F21/MAX(IF($E$5:$E$26=$E21,F$5:F$26))</f>
        <v>0.24795148466655847</v>
      </c>
      <c r="R21" s="27">
        <f t="array" ref="R21">G21/MAX(IF($E$5:$E$26=$E21,G$5:G$26))</f>
        <v>0.69890992113122929</v>
      </c>
      <c r="S21" s="27">
        <f t="array" ref="S21">H21/MAX(IF($E$5:$E$26=$E21,H$5:H$26))</f>
        <v>0.75070838030678633</v>
      </c>
      <c r="T21" s="27">
        <f t="array" ref="T21">I21/MAX(IF($E$5:$E$26=$E21,I$5:I$26))</f>
        <v>1</v>
      </c>
      <c r="U21" s="27">
        <f t="array" ref="U21">J21/MAX(IF($E$5:$E$26=$E21,J$5:J$26))</f>
        <v>1</v>
      </c>
      <c r="V21" s="27">
        <f t="array" ref="V21">K21/MAX(IF($E$5:$E$26=$E21,K$5:K$26))</f>
        <v>0.69915587744698071</v>
      </c>
      <c r="W21" s="27">
        <f t="array" ref="W21">L21/MAX(IF($E$5:$E$26=$E21,L$5:L$26))</f>
        <v>1</v>
      </c>
      <c r="X21" s="27">
        <f t="array" ref="X21">M21/MAX(IF($E$5:$E$26=$E21,M$5:M$26))</f>
        <v>0.98937484556461586</v>
      </c>
      <c r="Y21" s="27">
        <f t="array" ref="Y21">N21/MAX(IF($E$5:$E$26=$E21,N$5:N$26))</f>
        <v>1</v>
      </c>
      <c r="Z21" s="27" t="str">
        <f t="array" ref="Z21">IF(O21="NC","NC",IF(O21=0,0,IF(O21&gt;0,O21/MAX(IF($E$5:$E$26=$E21,$O$5:$O$26,"ERROR")))))</f>
        <v>NC</v>
      </c>
      <c r="AA21" s="28">
        <f t="array" ref="AA21">IF(P21=0,0,P21/MAX(IF($E$5:$E$26=$E21,$P$5:$P$26)))</f>
        <v>0</v>
      </c>
      <c r="AB21" s="10">
        <f t="shared" ref="AB21:AB22" si="7">IF(Z21="NC",(SUM(Q21:Y21)+AA21)/(COUNTA(Q21:Y21)+COUNTA(AA21)),AVERAGE(Q21:AA21))</f>
        <v>0.73861005091161702</v>
      </c>
      <c r="AC21" s="10">
        <f t="array" ref="AC21">SUM(IF($E$5:$E$26=$E21,$AB$5:$AB$26,"ERROR"))</f>
        <v>2.1753892653802271</v>
      </c>
      <c r="AD21" s="32">
        <f t="shared" ref="AD21:AD22" si="8">AB21/AC21</f>
        <v>0.33953006143133579</v>
      </c>
      <c r="AE21" s="11">
        <f>VLOOKUP(E21,Categorías!$A$35:$C$37,3,0)</f>
        <v>4169408</v>
      </c>
      <c r="AF21" s="11">
        <f t="shared" ref="AF21:AF22" si="9">AD21*AE21</f>
        <v>1415639.354372303</v>
      </c>
      <c r="AG21" s="71">
        <f t="shared" ref="AG21:AG22" si="10">ROUND(AF21,0)</f>
        <v>1415639</v>
      </c>
      <c r="AH21" s="71">
        <f t="shared" si="5"/>
        <v>1415639</v>
      </c>
      <c r="AI21" s="18">
        <f t="array" ref="AI21">AG21/(SUM(IF($C$5:$C$26=$C21,$AG$5:$AG$26,0)))</f>
        <v>2.7529458976635529E-2</v>
      </c>
    </row>
    <row r="22" spans="1:35" x14ac:dyDescent="0.25">
      <c r="A22" s="21" t="str">
        <f>Valores!A21</f>
        <v>U. DE AYSÉN</v>
      </c>
      <c r="B22" s="22" t="str">
        <f>Valores!B21</f>
        <v>URY</v>
      </c>
      <c r="C22" s="23" t="str">
        <f>Valores!C21</f>
        <v>CRUCH-ESTATAL</v>
      </c>
      <c r="D22" s="23" t="str">
        <f>Valores!D21</f>
        <v>Categoría III</v>
      </c>
      <c r="E22" s="23" t="str">
        <f t="shared" ref="E22" si="11">CONCATENATE(C22,D22)</f>
        <v>CRUCH-ESTATALCategoría III</v>
      </c>
      <c r="F22" s="24">
        <f>IFERROR(Valores!E21/Valores!F21*100,0)</f>
        <v>9.8159509202453989</v>
      </c>
      <c r="G22" s="25">
        <f>IFERROR(Valores!G21/Valores!H21,0)</f>
        <v>0.45666235446313064</v>
      </c>
      <c r="H22" s="25">
        <f>IFERROR((Valores!G21+Valores!I21+Valores!J21)/(Valores!H21),0)</f>
        <v>0.73835705045278133</v>
      </c>
      <c r="I22" s="25">
        <f>IFERROR(Valores!K21/Valores!H21,0)</f>
        <v>0.3984476067270375</v>
      </c>
      <c r="J22" s="25">
        <f>IFERROR(Valores!K21/Valores!G21,0)</f>
        <v>0.87252124645892348</v>
      </c>
      <c r="K22" s="25">
        <f>IFERROR(Valores!L21/Valores!M21,0)</f>
        <v>11.532894736842104</v>
      </c>
      <c r="L22" s="25">
        <f>IFERROR(Valores!N21/Valores!O21,0)</f>
        <v>0.67251461988304095</v>
      </c>
      <c r="M22" s="25">
        <f>IFERROR(Valores!P21/Valores!Q21,0)</f>
        <v>0.76223776223776218</v>
      </c>
      <c r="N22" s="25">
        <f>IFERROR(Valores!R21/Valores!S21,0)</f>
        <v>0.64583333333333337</v>
      </c>
      <c r="O22" s="25" t="str">
        <f>IF(Valores!W21&gt;0,Valores!T21/Valores!W21,IF(AND(Valores!W21=0,OR(Valores!V21&gt;0,Valores!U21&gt;0)),0,IF(AND(Valores!V21=0,Valores!W21=0,Valores!U21=0),"NC",)))</f>
        <v>NC</v>
      </c>
      <c r="P22" s="26">
        <f>IFERROR((Valores!X21+Valores!Y21)*1000/(Valores!H21),0)</f>
        <v>0</v>
      </c>
      <c r="Q22" s="27">
        <f t="array" ref="Q22">F22/MAX(IF($E$5:$E$26=$E22,F$5:F$26))</f>
        <v>1</v>
      </c>
      <c r="R22" s="27">
        <f t="array" ref="R22">G22/MAX(IF($E$5:$E$26=$E22,G$5:G$26))</f>
        <v>1</v>
      </c>
      <c r="S22" s="27">
        <f t="array" ref="S22">H22/MAX(IF($E$5:$E$26=$E22,H$5:H$26))</f>
        <v>0.9753780226592812</v>
      </c>
      <c r="T22" s="27">
        <f t="array" ref="T22">I22/MAX(IF($E$5:$E$26=$E22,I$5:I$26))</f>
        <v>0.58312850366537228</v>
      </c>
      <c r="U22" s="27">
        <f t="array" ref="U22">J22/MAX(IF($E$5:$E$26=$E22,J$5:J$26))</f>
        <v>0.40755429650613711</v>
      </c>
      <c r="V22" s="27">
        <f t="array" ref="V22">K22/MAX(IF($E$5:$E$26=$E22,K$5:K$26))</f>
        <v>1</v>
      </c>
      <c r="W22" s="27">
        <f t="array" ref="W22">L22/MAX(IF($E$5:$E$26=$E22,L$5:L$26))</f>
        <v>0.90436441065433504</v>
      </c>
      <c r="X22" s="27">
        <f t="array" ref="X22">M22/MAX(IF($E$5:$E$26=$E22,M$5:M$26))</f>
        <v>0.88927738927738931</v>
      </c>
      <c r="Y22" s="27">
        <f t="array" ref="Y22">N22/MAX(IF($E$5:$E$26=$E22,N$5:N$26))</f>
        <v>0.83635072772452967</v>
      </c>
      <c r="Z22" s="27" t="str">
        <f t="array" ref="Z22">IF(O22="NC","NC",IF(O22=0,0,IF(O22&gt;0,O22/MAX(IF($E$5:$E$26=$E22,$O$5:$O$26,"ERROR")))))</f>
        <v>NC</v>
      </c>
      <c r="AA22" s="28">
        <f t="array" ref="AA22">IF(P22=0,0,P22/MAX(IF($E$5:$E$26=$E22,$P$5:$P$26)))</f>
        <v>0</v>
      </c>
      <c r="AB22" s="10">
        <f t="shared" si="7"/>
        <v>0.75960533504870442</v>
      </c>
      <c r="AC22" s="10">
        <f t="array" ref="AC22">SUM(IF($E$5:$E$26=$E22,$AB$5:$AB$26,"ERROR"))</f>
        <v>2.1753892653802271</v>
      </c>
      <c r="AD22" s="32">
        <f t="shared" si="8"/>
        <v>0.34918133831828768</v>
      </c>
      <c r="AE22" s="11">
        <f>VLOOKUP(E22,Categorías!$A$35:$C$37,3,0)</f>
        <v>4169408</v>
      </c>
      <c r="AF22" s="11">
        <f t="shared" si="9"/>
        <v>1455879.4654349752</v>
      </c>
      <c r="AG22" s="71">
        <f t="shared" si="10"/>
        <v>1455879</v>
      </c>
      <c r="AH22" s="71">
        <f t="shared" si="5"/>
        <v>1455879</v>
      </c>
      <c r="AI22" s="18">
        <f t="array" ref="AI22">AG22/(SUM(IF($C$5:$C$26=$C22,$AG$5:$AG$26,0)))</f>
        <v>2.8311992821224308E-2</v>
      </c>
    </row>
    <row r="23" spans="1:35" x14ac:dyDescent="0.25">
      <c r="F23" s="305">
        <f>SUM(F5:F22)</f>
        <v>75.121095144230551</v>
      </c>
      <c r="G23" s="305">
        <f t="shared" ref="G23:AA23" si="12">SUM(G5:G22)</f>
        <v>7.117819873589343</v>
      </c>
      <c r="H23" s="305">
        <f>SUM(H5:H22)</f>
        <v>13.686500647500964</v>
      </c>
      <c r="I23" s="305">
        <f t="shared" si="12"/>
        <v>14.199963531121536</v>
      </c>
      <c r="J23" s="305">
        <f t="shared" si="12"/>
        <v>34.675815826257207</v>
      </c>
      <c r="K23" s="305">
        <f t="shared" si="12"/>
        <v>174.51536514716682</v>
      </c>
      <c r="L23" s="305">
        <f t="shared" si="12"/>
        <v>12.451470511183036</v>
      </c>
      <c r="M23" s="305">
        <f t="shared" si="12"/>
        <v>14.784870682930626</v>
      </c>
      <c r="N23" s="305">
        <f t="shared" si="12"/>
        <v>12.961404027543569</v>
      </c>
      <c r="O23" s="305">
        <f>SUM(O5:O22)</f>
        <v>1.6056978935070243</v>
      </c>
      <c r="P23" s="305">
        <f t="shared" si="12"/>
        <v>46.797937536866421</v>
      </c>
      <c r="Q23" s="305">
        <f t="shared" si="12"/>
        <v>12.386122619712435</v>
      </c>
      <c r="R23" s="305">
        <f t="shared" si="12"/>
        <v>12.751897037861049</v>
      </c>
      <c r="S23" s="305">
        <f t="shared" si="12"/>
        <v>15.016001721953081</v>
      </c>
      <c r="T23" s="305">
        <f t="shared" si="12"/>
        <v>9.1740718544149402</v>
      </c>
      <c r="U23" s="305">
        <f t="shared" si="12"/>
        <v>11.151284323938487</v>
      </c>
      <c r="V23" s="305">
        <f t="shared" si="12"/>
        <v>12.862495456258682</v>
      </c>
      <c r="W23" s="305">
        <f t="shared" si="12"/>
        <v>15.651682985577558</v>
      </c>
      <c r="X23" s="305">
        <f t="shared" si="12"/>
        <v>16.581653075548225</v>
      </c>
      <c r="Y23" s="305">
        <f t="shared" si="12"/>
        <v>16.553009106912906</v>
      </c>
      <c r="Z23" s="305">
        <f t="shared" si="12"/>
        <v>6.0082701481106353</v>
      </c>
      <c r="AA23" s="305">
        <f t="shared" si="12"/>
        <v>5.3630915468142923</v>
      </c>
      <c r="AD23" s="306">
        <f>SUM(AD5:AD22)</f>
        <v>3</v>
      </c>
      <c r="AF23" s="71">
        <f>SUM(AF5:AF22)</f>
        <v>51422699</v>
      </c>
      <c r="AG23" s="71">
        <f>SUM(AG5:AG22)</f>
        <v>51422696</v>
      </c>
      <c r="AH23" s="71">
        <f>SUM(AH5:AH22)</f>
        <v>51422691</v>
      </c>
      <c r="AI23" s="76">
        <f>SUM(AI5:AI22)</f>
        <v>0.99999999999999989</v>
      </c>
    </row>
    <row r="24" spans="1:35" x14ac:dyDescent="0.25">
      <c r="AF24" s="353">
        <f>'Montos AIUE 2025'!$B$48-AF23</f>
        <v>1</v>
      </c>
      <c r="AG24" s="360">
        <f>'Montos AIUE 2025'!$B$48-AG23</f>
        <v>4</v>
      </c>
      <c r="AH24" s="353">
        <f>'Montos AIUE 2025'!$B$48-AH23</f>
        <v>9</v>
      </c>
    </row>
    <row r="25" spans="1:35" x14ac:dyDescent="0.25">
      <c r="H25" s="308"/>
    </row>
    <row r="28" spans="1:35" x14ac:dyDescent="0.25">
      <c r="AE28" s="1"/>
      <c r="AF28" s="33"/>
      <c r="AG28" s="33"/>
      <c r="AI28" s="33"/>
    </row>
    <row r="29" spans="1:35" x14ac:dyDescent="0.25">
      <c r="AE29" s="1"/>
      <c r="AF29" s="33"/>
      <c r="AG29" s="33"/>
      <c r="AI29" s="33"/>
    </row>
    <row r="30" spans="1:35" x14ac:dyDescent="0.25">
      <c r="AE30" s="1"/>
      <c r="AF30" s="33"/>
      <c r="AG30" s="33"/>
      <c r="AI30" s="33"/>
    </row>
    <row r="31" spans="1:35" x14ac:dyDescent="0.25">
      <c r="AE31" s="1"/>
      <c r="AF31" s="33"/>
      <c r="AG31" s="33"/>
      <c r="AI31" s="33"/>
    </row>
    <row r="32" spans="1:35" x14ac:dyDescent="0.25">
      <c r="AE32" s="1"/>
      <c r="AF32" s="33"/>
      <c r="AG32" s="33"/>
      <c r="AI32" s="33"/>
    </row>
    <row r="33" spans="31:35" x14ac:dyDescent="0.25">
      <c r="AE33" s="1"/>
      <c r="AF33" s="33"/>
      <c r="AG33" s="33"/>
      <c r="AI33" s="33"/>
    </row>
    <row r="34" spans="31:35" x14ac:dyDescent="0.25">
      <c r="AE34" s="1"/>
      <c r="AF34" s="33"/>
      <c r="AG34" s="33"/>
      <c r="AI34" s="33"/>
    </row>
    <row r="35" spans="31:35" x14ac:dyDescent="0.25">
      <c r="AE35" s="1"/>
      <c r="AF35" s="33"/>
      <c r="AG35" s="33"/>
      <c r="AI35" s="33"/>
    </row>
    <row r="36" spans="31:35" x14ac:dyDescent="0.25">
      <c r="AE36" s="1"/>
      <c r="AF36" s="33"/>
      <c r="AG36" s="33"/>
      <c r="AI36" s="33"/>
    </row>
    <row r="37" spans="31:35" x14ac:dyDescent="0.25">
      <c r="AE37" s="1"/>
      <c r="AF37" s="33"/>
      <c r="AG37" s="33"/>
      <c r="AI37" s="33"/>
    </row>
    <row r="38" spans="31:35" x14ac:dyDescent="0.25">
      <c r="AE38" s="1"/>
      <c r="AF38" s="33"/>
      <c r="AG38" s="33"/>
      <c r="AI38" s="33"/>
    </row>
    <row r="39" spans="31:35" x14ac:dyDescent="0.25">
      <c r="AE39" s="1"/>
      <c r="AF39" s="33"/>
      <c r="AG39" s="33"/>
      <c r="AI39" s="33"/>
    </row>
    <row r="40" spans="31:35" x14ac:dyDescent="0.25">
      <c r="AE40" s="1"/>
      <c r="AF40" s="33"/>
      <c r="AG40" s="33"/>
      <c r="AI40" s="33"/>
    </row>
    <row r="41" spans="31:35" x14ac:dyDescent="0.25">
      <c r="AE41" s="1"/>
      <c r="AF41" s="33"/>
      <c r="AG41" s="33"/>
      <c r="AI41" s="33"/>
    </row>
    <row r="42" spans="31:35" x14ac:dyDescent="0.25">
      <c r="AE42" s="1"/>
      <c r="AF42" s="33"/>
      <c r="AG42" s="33"/>
      <c r="AI42" s="33"/>
    </row>
    <row r="43" spans="31:35" x14ac:dyDescent="0.25">
      <c r="AE43" s="1"/>
      <c r="AF43" s="33"/>
      <c r="AG43" s="33"/>
      <c r="AI43" s="33"/>
    </row>
    <row r="44" spans="31:35" x14ac:dyDescent="0.25">
      <c r="AE44" s="1"/>
      <c r="AF44" s="33"/>
      <c r="AG44" s="33"/>
      <c r="AI44" s="33"/>
    </row>
    <row r="45" spans="31:35" x14ac:dyDescent="0.25">
      <c r="AE45" s="1"/>
      <c r="AF45" s="33"/>
      <c r="AG45" s="33"/>
      <c r="AI45" s="33"/>
    </row>
    <row r="46" spans="31:35" x14ac:dyDescent="0.25">
      <c r="AE46" s="1"/>
      <c r="AF46" s="33"/>
      <c r="AG46" s="33"/>
      <c r="AI46" s="33"/>
    </row>
    <row r="47" spans="31:35" x14ac:dyDescent="0.25">
      <c r="AE47" s="1"/>
      <c r="AF47" s="33"/>
      <c r="AG47" s="33"/>
      <c r="AI47" s="33"/>
    </row>
    <row r="48" spans="31:35" x14ac:dyDescent="0.25">
      <c r="AE48" s="1"/>
      <c r="AF48" s="33"/>
      <c r="AG48" s="33"/>
      <c r="AI48" s="33"/>
    </row>
    <row r="49" spans="23:35" x14ac:dyDescent="0.25">
      <c r="AE49" s="1"/>
      <c r="AF49" s="33"/>
      <c r="AG49" s="33"/>
      <c r="AI49" s="33"/>
    </row>
    <row r="50" spans="23:35" x14ac:dyDescent="0.25">
      <c r="AE50" s="1"/>
      <c r="AF50" s="33"/>
      <c r="AG50" s="33"/>
      <c r="AI50" s="33"/>
    </row>
    <row r="51" spans="23:35" x14ac:dyDescent="0.25">
      <c r="AE51" s="1"/>
      <c r="AF51" s="33"/>
      <c r="AG51" s="33"/>
      <c r="AI51" s="33"/>
    </row>
    <row r="52" spans="23:35" x14ac:dyDescent="0.25">
      <c r="AE52" s="1"/>
      <c r="AF52" s="33"/>
      <c r="AG52" s="33"/>
      <c r="AI52" s="33"/>
    </row>
    <row r="53" spans="23:35" x14ac:dyDescent="0.25">
      <c r="AE53" s="1"/>
      <c r="AF53" s="33"/>
      <c r="AG53" s="33"/>
      <c r="AI53" s="33"/>
    </row>
    <row r="54" spans="23:35" x14ac:dyDescent="0.25">
      <c r="AE54" s="1"/>
      <c r="AF54" s="33"/>
      <c r="AG54" s="33"/>
      <c r="AI54" s="33"/>
    </row>
    <row r="55" spans="23:35" x14ac:dyDescent="0.25">
      <c r="AG55" s="33"/>
      <c r="AI55" s="33"/>
    </row>
    <row r="60" spans="23:35" x14ac:dyDescent="0.25">
      <c r="W60" s="34"/>
      <c r="X60" s="34"/>
      <c r="Y60" s="34"/>
      <c r="Z60" s="34"/>
      <c r="AA60" s="34"/>
      <c r="AB60" s="34"/>
      <c r="AC60" s="34"/>
      <c r="AD60" s="34"/>
    </row>
    <row r="61" spans="23:35" x14ac:dyDescent="0.25">
      <c r="W61" s="34"/>
      <c r="X61" s="34"/>
      <c r="Y61" s="34"/>
      <c r="Z61" s="34"/>
      <c r="AA61" s="34"/>
      <c r="AB61" s="34"/>
      <c r="AC61" s="34"/>
      <c r="AD61" s="34"/>
    </row>
    <row r="62" spans="23:35" x14ac:dyDescent="0.25">
      <c r="W62" s="34"/>
      <c r="X62" s="34"/>
      <c r="Y62" s="34"/>
      <c r="Z62" s="34"/>
      <c r="AA62" s="34"/>
      <c r="AB62" s="34"/>
      <c r="AC62" s="34"/>
      <c r="AD62" s="34"/>
    </row>
    <row r="63" spans="23:35" x14ac:dyDescent="0.25">
      <c r="W63" s="34"/>
      <c r="X63" s="34"/>
      <c r="Y63" s="34"/>
      <c r="Z63" s="34"/>
      <c r="AA63" s="34"/>
      <c r="AB63" s="34"/>
      <c r="AC63" s="34"/>
      <c r="AD63" s="34"/>
    </row>
    <row r="64" spans="23:35" x14ac:dyDescent="0.25">
      <c r="W64" s="34"/>
      <c r="X64" s="34"/>
      <c r="Y64" s="34"/>
      <c r="Z64" s="34"/>
      <c r="AA64" s="34"/>
      <c r="AB64" s="34"/>
      <c r="AC64" s="34"/>
      <c r="AD64" s="34"/>
    </row>
    <row r="65" spans="23:30" x14ac:dyDescent="0.25">
      <c r="W65" s="34"/>
      <c r="X65" s="34"/>
      <c r="Y65" s="34"/>
      <c r="Z65" s="34"/>
      <c r="AA65" s="34"/>
      <c r="AB65" s="34"/>
      <c r="AC65" s="34"/>
      <c r="AD65" s="34"/>
    </row>
    <row r="66" spans="23:30" x14ac:dyDescent="0.25">
      <c r="W66" s="34"/>
      <c r="X66" s="34"/>
      <c r="Y66" s="34"/>
      <c r="Z66" s="34"/>
      <c r="AA66" s="34"/>
      <c r="AB66" s="34"/>
      <c r="AC66" s="34"/>
      <c r="AD66" s="34"/>
    </row>
    <row r="67" spans="23:30" x14ac:dyDescent="0.25">
      <c r="W67" s="34"/>
      <c r="X67" s="34"/>
      <c r="Y67" s="34"/>
      <c r="Z67" s="34"/>
      <c r="AA67" s="34"/>
      <c r="AB67" s="34"/>
      <c r="AC67" s="34"/>
      <c r="AD67" s="34"/>
    </row>
    <row r="68" spans="23:30" x14ac:dyDescent="0.25">
      <c r="W68" s="34"/>
      <c r="X68" s="34"/>
      <c r="Y68" s="34"/>
      <c r="Z68" s="34"/>
      <c r="AA68" s="34"/>
      <c r="AB68" s="34"/>
      <c r="AC68" s="34"/>
      <c r="AD68" s="34"/>
    </row>
    <row r="69" spans="23:30" x14ac:dyDescent="0.25">
      <c r="W69" s="34"/>
      <c r="X69" s="34"/>
      <c r="Y69" s="34"/>
      <c r="Z69" s="34"/>
      <c r="AA69" s="34"/>
      <c r="AB69" s="34"/>
      <c r="AC69" s="34"/>
      <c r="AD69" s="34"/>
    </row>
    <row r="70" spans="23:30" x14ac:dyDescent="0.25">
      <c r="W70" s="34"/>
      <c r="X70" s="34"/>
      <c r="Y70" s="34"/>
      <c r="Z70" s="34"/>
      <c r="AA70" s="34"/>
      <c r="AB70" s="34"/>
      <c r="AC70" s="34"/>
      <c r="AD70" s="34"/>
    </row>
    <row r="71" spans="23:30" x14ac:dyDescent="0.25">
      <c r="W71" s="34"/>
      <c r="X71" s="34"/>
      <c r="Y71" s="34"/>
      <c r="Z71" s="34"/>
      <c r="AA71" s="34"/>
      <c r="AB71" s="34"/>
      <c r="AC71" s="34"/>
      <c r="AD71" s="34"/>
    </row>
    <row r="72" spans="23:30" x14ac:dyDescent="0.25">
      <c r="W72" s="34"/>
      <c r="X72" s="34"/>
      <c r="Y72" s="34"/>
      <c r="Z72" s="34"/>
      <c r="AA72" s="34"/>
      <c r="AB72" s="34"/>
      <c r="AC72" s="34"/>
      <c r="AD72" s="34"/>
    </row>
    <row r="73" spans="23:30" x14ac:dyDescent="0.25">
      <c r="W73" s="34"/>
      <c r="X73" s="34"/>
      <c r="Y73" s="34"/>
      <c r="Z73" s="34"/>
      <c r="AA73" s="34"/>
      <c r="AB73" s="34"/>
      <c r="AC73" s="34"/>
      <c r="AD73" s="34"/>
    </row>
    <row r="74" spans="23:30" x14ac:dyDescent="0.25">
      <c r="W74" s="34"/>
      <c r="X74" s="34"/>
      <c r="Y74" s="34"/>
      <c r="Z74" s="34"/>
      <c r="AA74" s="34"/>
      <c r="AB74" s="34"/>
      <c r="AC74" s="34"/>
      <c r="AD74" s="34"/>
    </row>
    <row r="75" spans="23:30" x14ac:dyDescent="0.25">
      <c r="W75" s="34"/>
      <c r="X75" s="34"/>
      <c r="Y75" s="34"/>
      <c r="Z75" s="34"/>
      <c r="AA75" s="34"/>
      <c r="AB75" s="34"/>
      <c r="AC75" s="34"/>
      <c r="AD75" s="34"/>
    </row>
    <row r="76" spans="23:30" x14ac:dyDescent="0.25">
      <c r="W76" s="34"/>
      <c r="X76" s="34"/>
      <c r="Y76" s="34"/>
      <c r="Z76" s="34"/>
      <c r="AA76" s="34"/>
      <c r="AB76" s="34"/>
      <c r="AC76" s="34"/>
      <c r="AD76" s="34"/>
    </row>
    <row r="77" spans="23:30" x14ac:dyDescent="0.25">
      <c r="W77" s="34"/>
      <c r="X77" s="34"/>
      <c r="Y77" s="34"/>
      <c r="Z77" s="34"/>
      <c r="AA77" s="34"/>
      <c r="AB77" s="34"/>
      <c r="AC77" s="34"/>
      <c r="AD77" s="34"/>
    </row>
    <row r="78" spans="23:30" x14ac:dyDescent="0.25">
      <c r="W78" s="34"/>
      <c r="X78" s="34"/>
      <c r="Y78" s="34"/>
      <c r="Z78" s="34"/>
      <c r="AA78" s="34"/>
      <c r="AB78" s="34"/>
      <c r="AC78" s="34"/>
      <c r="AD78" s="34"/>
    </row>
    <row r="79" spans="23:30" x14ac:dyDescent="0.25">
      <c r="W79" s="34"/>
      <c r="X79" s="34"/>
      <c r="Y79" s="34"/>
      <c r="Z79" s="34"/>
      <c r="AA79" s="34"/>
      <c r="AB79" s="34"/>
      <c r="AC79" s="34"/>
      <c r="AD79" s="34"/>
    </row>
    <row r="80" spans="23:30" x14ac:dyDescent="0.25">
      <c r="W80" s="34"/>
      <c r="X80" s="34"/>
      <c r="Y80" s="34"/>
      <c r="Z80" s="34"/>
      <c r="AA80" s="34"/>
      <c r="AB80" s="34"/>
      <c r="AC80" s="34"/>
      <c r="AD80" s="34"/>
    </row>
    <row r="81" spans="17:30" x14ac:dyDescent="0.25">
      <c r="W81" s="34"/>
      <c r="X81" s="34"/>
      <c r="Y81" s="34"/>
      <c r="Z81" s="34"/>
      <c r="AA81" s="34"/>
      <c r="AB81" s="34"/>
      <c r="AC81" s="34"/>
      <c r="AD81" s="34"/>
    </row>
    <row r="83" spans="17:30" x14ac:dyDescent="0.25">
      <c r="Q83" s="34"/>
    </row>
    <row r="84" spans="17:30" x14ac:dyDescent="0.25">
      <c r="Q84" s="34"/>
    </row>
    <row r="85" spans="17:30" x14ac:dyDescent="0.25">
      <c r="Q85" s="34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2:Z40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C17" sqref="AC17"/>
    </sheetView>
  </sheetViews>
  <sheetFormatPr baseColWidth="10" defaultRowHeight="15" x14ac:dyDescent="0.25"/>
  <cols>
    <col min="1" max="1" width="46.5703125" bestFit="1" customWidth="1"/>
    <col min="3" max="3" width="0" hidden="1" customWidth="1"/>
    <col min="4" max="4" width="12.85546875" customWidth="1"/>
    <col min="24" max="24" width="10.85546875" customWidth="1"/>
    <col min="25" max="25" width="11.85546875" customWidth="1"/>
    <col min="28" max="28" width="11.140625" bestFit="1" customWidth="1"/>
  </cols>
  <sheetData>
    <row r="2" spans="1:26" x14ac:dyDescent="0.25">
      <c r="E2" s="72">
        <v>1</v>
      </c>
      <c r="F2" s="72">
        <v>2</v>
      </c>
      <c r="G2" s="72">
        <v>3</v>
      </c>
      <c r="H2" s="72">
        <v>4</v>
      </c>
      <c r="I2" s="72">
        <v>5</v>
      </c>
      <c r="J2" s="72">
        <v>6</v>
      </c>
      <c r="K2" s="72">
        <v>7</v>
      </c>
      <c r="L2" s="72">
        <v>8</v>
      </c>
      <c r="M2" s="72">
        <v>9</v>
      </c>
      <c r="N2" s="72">
        <v>10</v>
      </c>
      <c r="O2" s="72">
        <v>11</v>
      </c>
      <c r="P2" s="72">
        <v>12</v>
      </c>
      <c r="Q2" s="72">
        <v>13</v>
      </c>
      <c r="R2" s="72">
        <v>14</v>
      </c>
      <c r="S2" s="72">
        <v>15</v>
      </c>
      <c r="T2" s="72">
        <v>16</v>
      </c>
      <c r="U2" s="72">
        <v>17</v>
      </c>
      <c r="V2" s="72">
        <v>18</v>
      </c>
      <c r="W2" s="72">
        <v>19</v>
      </c>
      <c r="X2" s="72">
        <v>20</v>
      </c>
      <c r="Y2" s="72">
        <v>21</v>
      </c>
    </row>
    <row r="3" spans="1:26" ht="33.75" x14ac:dyDescent="0.25">
      <c r="A3" s="19" t="s">
        <v>11</v>
      </c>
      <c r="B3" s="19" t="s">
        <v>1</v>
      </c>
      <c r="C3" s="19" t="s">
        <v>21</v>
      </c>
      <c r="D3" s="7" t="s">
        <v>39</v>
      </c>
      <c r="E3" s="277" t="s">
        <v>377</v>
      </c>
      <c r="F3" s="277" t="s">
        <v>378</v>
      </c>
      <c r="G3" s="277" t="s">
        <v>379</v>
      </c>
      <c r="H3" s="277" t="s">
        <v>380</v>
      </c>
      <c r="I3" s="277" t="s">
        <v>381</v>
      </c>
      <c r="J3" s="277" t="s">
        <v>382</v>
      </c>
      <c r="K3" s="278" t="s">
        <v>383</v>
      </c>
      <c r="L3" s="278" t="s">
        <v>384</v>
      </c>
      <c r="M3" s="278" t="s">
        <v>385</v>
      </c>
      <c r="N3" s="277" t="s">
        <v>386</v>
      </c>
      <c r="O3" s="277" t="s">
        <v>387</v>
      </c>
      <c r="P3" s="277" t="s">
        <v>388</v>
      </c>
      <c r="Q3" s="277" t="s">
        <v>389</v>
      </c>
      <c r="R3" s="277" t="s">
        <v>390</v>
      </c>
      <c r="S3" s="277" t="s">
        <v>391</v>
      </c>
      <c r="T3" s="277" t="s">
        <v>392</v>
      </c>
      <c r="U3" s="277" t="s">
        <v>207</v>
      </c>
      <c r="V3" s="277" t="s">
        <v>393</v>
      </c>
      <c r="W3" s="277" t="s">
        <v>394</v>
      </c>
      <c r="X3" s="277" t="s">
        <v>376</v>
      </c>
      <c r="Y3" s="277" t="s">
        <v>209</v>
      </c>
    </row>
    <row r="4" spans="1:26" x14ac:dyDescent="0.25">
      <c r="A4" s="39" t="str">
        <f>Categorías!A5</f>
        <v>UNIVERSIDAD DE CHILE</v>
      </c>
      <c r="B4" s="39" t="str">
        <f>Categorías!B5</f>
        <v>UCH</v>
      </c>
      <c r="C4" s="40" t="str">
        <f>Categorías!C5</f>
        <v>CRUCH-ESTATAL</v>
      </c>
      <c r="D4" s="39" t="str">
        <f>Categorías!Y5</f>
        <v>Categoría I</v>
      </c>
      <c r="E4" s="82">
        <v>1555</v>
      </c>
      <c r="F4" s="82">
        <v>45111</v>
      </c>
      <c r="G4" s="82">
        <v>1337.2613636363669</v>
      </c>
      <c r="H4" s="82">
        <v>2310.0909090909108</v>
      </c>
      <c r="I4" s="279">
        <v>426.31818181818102</v>
      </c>
      <c r="J4" s="279">
        <v>210.20454545454501</v>
      </c>
      <c r="K4" s="280">
        <v>3237</v>
      </c>
      <c r="L4" s="280">
        <v>209404</v>
      </c>
      <c r="M4" s="280">
        <v>18270</v>
      </c>
      <c r="N4" s="281">
        <v>3240</v>
      </c>
      <c r="O4" s="281">
        <v>6358</v>
      </c>
      <c r="P4" s="281">
        <v>5323</v>
      </c>
      <c r="Q4" s="281">
        <v>5973</v>
      </c>
      <c r="R4" s="282">
        <v>4824</v>
      </c>
      <c r="S4" s="282">
        <v>5798</v>
      </c>
      <c r="T4" s="82">
        <v>27</v>
      </c>
      <c r="U4" s="82">
        <v>213</v>
      </c>
      <c r="V4" s="82">
        <v>242</v>
      </c>
      <c r="W4" s="82">
        <v>213</v>
      </c>
      <c r="X4" s="82">
        <v>2</v>
      </c>
      <c r="Y4" s="82">
        <v>3</v>
      </c>
      <c r="Z4" s="41" t="s">
        <v>2</v>
      </c>
    </row>
    <row r="5" spans="1:26" x14ac:dyDescent="0.25">
      <c r="A5" s="39" t="str">
        <f>Categorías!A6</f>
        <v>UNIVERSIDAD DE SANTIAGO DE CHILE</v>
      </c>
      <c r="B5" s="39" t="str">
        <f>Categorías!B6</f>
        <v>USA</v>
      </c>
      <c r="C5" s="40" t="str">
        <f>Categorías!C6</f>
        <v>CRUCH-ESTATAL</v>
      </c>
      <c r="D5" s="39" t="str">
        <f>Categorías!Y6</f>
        <v>Categoría I</v>
      </c>
      <c r="E5" s="82">
        <v>676</v>
      </c>
      <c r="F5" s="82">
        <v>25162</v>
      </c>
      <c r="G5" s="82">
        <v>553.40909090909054</v>
      </c>
      <c r="H5" s="82">
        <v>1340.4249999999988</v>
      </c>
      <c r="I5" s="279">
        <v>299.07272727272738</v>
      </c>
      <c r="J5" s="279">
        <v>133.81363636363631</v>
      </c>
      <c r="K5" s="280">
        <v>954</v>
      </c>
      <c r="L5" s="280">
        <v>45766</v>
      </c>
      <c r="M5" s="280">
        <v>5269</v>
      </c>
      <c r="N5" s="281">
        <v>2814</v>
      </c>
      <c r="O5" s="281">
        <v>4240</v>
      </c>
      <c r="P5" s="281">
        <v>3206</v>
      </c>
      <c r="Q5" s="281">
        <v>3945</v>
      </c>
      <c r="R5" s="282">
        <v>3277</v>
      </c>
      <c r="S5" s="282">
        <v>4471</v>
      </c>
      <c r="T5" s="82">
        <v>17</v>
      </c>
      <c r="U5" s="82">
        <v>53</v>
      </c>
      <c r="V5" s="82">
        <v>68</v>
      </c>
      <c r="W5" s="82">
        <v>83</v>
      </c>
      <c r="X5" s="82">
        <v>5</v>
      </c>
      <c r="Y5" s="82">
        <v>3</v>
      </c>
      <c r="Z5" s="41" t="s">
        <v>3</v>
      </c>
    </row>
    <row r="6" spans="1:26" x14ac:dyDescent="0.25">
      <c r="A6" s="39" t="str">
        <f>Categorías!A7</f>
        <v>UNIVERSIDAD DE ANTOFAGASTA</v>
      </c>
      <c r="B6" s="39" t="str">
        <f>Categorías!B7</f>
        <v>ANT</v>
      </c>
      <c r="C6" s="40" t="str">
        <f>Categorías!C7</f>
        <v>CRUCH-ESTATAL</v>
      </c>
      <c r="D6" s="39" t="str">
        <f>Categorías!Y7</f>
        <v>Categoría II</v>
      </c>
      <c r="E6" s="82">
        <v>407</v>
      </c>
      <c r="F6" s="82">
        <v>7573</v>
      </c>
      <c r="G6" s="82">
        <v>156.21022727272728</v>
      </c>
      <c r="H6" s="82">
        <v>540.15931818181821</v>
      </c>
      <c r="I6" s="279">
        <v>155.88068181818181</v>
      </c>
      <c r="J6" s="279">
        <v>40.70454545454546</v>
      </c>
      <c r="K6" s="280">
        <v>313</v>
      </c>
      <c r="L6" s="280">
        <v>26992</v>
      </c>
      <c r="M6" s="280">
        <v>1783</v>
      </c>
      <c r="N6" s="281">
        <v>617</v>
      </c>
      <c r="O6" s="281">
        <v>1229</v>
      </c>
      <c r="P6" s="281">
        <v>882</v>
      </c>
      <c r="Q6" s="281">
        <v>1067</v>
      </c>
      <c r="R6" s="282">
        <v>934</v>
      </c>
      <c r="S6" s="282">
        <v>1286</v>
      </c>
      <c r="T6" s="82">
        <v>1</v>
      </c>
      <c r="U6" s="82">
        <v>21</v>
      </c>
      <c r="V6" s="82">
        <v>16</v>
      </c>
      <c r="W6" s="82">
        <v>10</v>
      </c>
      <c r="X6" s="82">
        <v>3</v>
      </c>
      <c r="Y6" s="82"/>
      <c r="Z6" s="41" t="s">
        <v>9</v>
      </c>
    </row>
    <row r="7" spans="1:26" x14ac:dyDescent="0.25">
      <c r="A7" s="39" t="str">
        <f>Categorías!A8</f>
        <v>UNIVERSIDAD DE LA FRONTERA</v>
      </c>
      <c r="B7" s="39" t="str">
        <f>Categorías!B8</f>
        <v>FRO</v>
      </c>
      <c r="C7" s="40" t="str">
        <f>Categorías!C8</f>
        <v>CRUCH-ESTATAL</v>
      </c>
      <c r="D7" s="39" t="str">
        <f>Categorías!Y8</f>
        <v>Categoría II</v>
      </c>
      <c r="E7" s="82">
        <v>411</v>
      </c>
      <c r="F7" s="82">
        <v>11573</v>
      </c>
      <c r="G7" s="82">
        <v>311.02272727272742</v>
      </c>
      <c r="H7" s="82">
        <v>570.59090909090924</v>
      </c>
      <c r="I7" s="279">
        <v>116.4318181818182</v>
      </c>
      <c r="J7" s="279">
        <v>50.500000000000028</v>
      </c>
      <c r="K7" s="280">
        <v>917</v>
      </c>
      <c r="L7" s="280">
        <v>48050</v>
      </c>
      <c r="M7" s="280">
        <v>4174</v>
      </c>
      <c r="N7" s="281">
        <v>1431</v>
      </c>
      <c r="O7" s="281">
        <v>2060</v>
      </c>
      <c r="P7" s="281">
        <v>1564</v>
      </c>
      <c r="Q7" s="281">
        <v>1807</v>
      </c>
      <c r="R7" s="282">
        <v>1560</v>
      </c>
      <c r="S7" s="282">
        <v>2030</v>
      </c>
      <c r="T7" s="82">
        <v>4</v>
      </c>
      <c r="U7" s="82">
        <v>40</v>
      </c>
      <c r="V7" s="82">
        <v>48</v>
      </c>
      <c r="W7" s="82">
        <v>46</v>
      </c>
      <c r="X7" s="82">
        <v>2</v>
      </c>
      <c r="Y7" s="82">
        <v>1</v>
      </c>
      <c r="Z7" s="41" t="s">
        <v>6</v>
      </c>
    </row>
    <row r="8" spans="1:26" x14ac:dyDescent="0.25">
      <c r="A8" s="39" t="str">
        <f>Categorías!A9</f>
        <v>UNIVERSIDAD DE TALCA</v>
      </c>
      <c r="B8" s="39" t="str">
        <f>Categorías!B9</f>
        <v>TAL</v>
      </c>
      <c r="C8" s="40" t="str">
        <f>Categorías!C9</f>
        <v>CRUCH-ESTATAL</v>
      </c>
      <c r="D8" s="39" t="str">
        <f>Categorías!Y9</f>
        <v>Categoría I</v>
      </c>
      <c r="E8" s="82">
        <v>499</v>
      </c>
      <c r="F8" s="82">
        <v>11416</v>
      </c>
      <c r="G8" s="82">
        <v>281.65909090909065</v>
      </c>
      <c r="H8" s="82">
        <v>595.43181818181677</v>
      </c>
      <c r="I8" s="279">
        <v>278.68181818181694</v>
      </c>
      <c r="J8" s="279">
        <v>16.22727272727273</v>
      </c>
      <c r="K8" s="280">
        <v>648</v>
      </c>
      <c r="L8" s="280">
        <v>31634</v>
      </c>
      <c r="M8" s="280">
        <v>3268</v>
      </c>
      <c r="N8" s="281">
        <v>1795</v>
      </c>
      <c r="O8" s="281">
        <v>2281</v>
      </c>
      <c r="P8" s="281">
        <v>1694</v>
      </c>
      <c r="Q8" s="281">
        <v>2005</v>
      </c>
      <c r="R8" s="282">
        <v>1511</v>
      </c>
      <c r="S8" s="282">
        <v>2063</v>
      </c>
      <c r="T8" s="82">
        <v>4</v>
      </c>
      <c r="U8" s="82">
        <v>21</v>
      </c>
      <c r="V8" s="82">
        <v>35</v>
      </c>
      <c r="W8" s="82">
        <v>45</v>
      </c>
      <c r="X8" s="82">
        <v>1</v>
      </c>
      <c r="Y8" s="82">
        <v>3</v>
      </c>
      <c r="Z8" s="41" t="s">
        <v>5</v>
      </c>
    </row>
    <row r="9" spans="1:26" x14ac:dyDescent="0.25">
      <c r="A9" s="39" t="str">
        <f>Categorías!A10</f>
        <v>UNIVERSIDAD DE TARAPACÁ</v>
      </c>
      <c r="B9" s="39" t="str">
        <f>Categorías!B10</f>
        <v>UTA</v>
      </c>
      <c r="C9" s="40" t="str">
        <f>Categorías!C10</f>
        <v>CRUCH-ESTATAL</v>
      </c>
      <c r="D9" s="39" t="str">
        <f>Categorías!Y10</f>
        <v>Categoría II</v>
      </c>
      <c r="E9" s="82">
        <v>356</v>
      </c>
      <c r="F9" s="82">
        <v>10672</v>
      </c>
      <c r="G9" s="82">
        <v>207.93181818181819</v>
      </c>
      <c r="H9" s="82">
        <v>387.64499999999998</v>
      </c>
      <c r="I9" s="279">
        <v>134.70749999999998</v>
      </c>
      <c r="J9" s="279">
        <v>10.340909090909092</v>
      </c>
      <c r="K9" s="280">
        <v>791</v>
      </c>
      <c r="L9" s="280">
        <v>27382</v>
      </c>
      <c r="M9" s="280">
        <v>2708</v>
      </c>
      <c r="N9" s="281">
        <v>1531</v>
      </c>
      <c r="O9" s="281">
        <v>2035</v>
      </c>
      <c r="P9" s="281">
        <v>1625</v>
      </c>
      <c r="Q9" s="281">
        <v>1908</v>
      </c>
      <c r="R9" s="282">
        <v>1485</v>
      </c>
      <c r="S9" s="282">
        <v>1981</v>
      </c>
      <c r="T9" s="82">
        <v>0</v>
      </c>
      <c r="U9" s="82">
        <v>0</v>
      </c>
      <c r="V9" s="82">
        <v>5</v>
      </c>
      <c r="W9" s="82">
        <v>0</v>
      </c>
      <c r="X9" s="82">
        <v>3</v>
      </c>
      <c r="Y9" s="82">
        <v>1</v>
      </c>
      <c r="Z9" s="41" t="s">
        <v>10</v>
      </c>
    </row>
    <row r="10" spans="1:26" x14ac:dyDescent="0.25">
      <c r="A10" s="39" t="str">
        <f>Categorías!A11</f>
        <v>UNIVERSIDAD DE VALPARAÍSO</v>
      </c>
      <c r="B10" s="39" t="str">
        <f>Categorías!B11</f>
        <v>UVA</v>
      </c>
      <c r="C10" s="40" t="str">
        <f>Categorías!C11</f>
        <v>CRUCH-ESTATAL</v>
      </c>
      <c r="D10" s="39" t="str">
        <f>Categorías!Y11</f>
        <v>Categoría I</v>
      </c>
      <c r="E10" s="82">
        <v>573</v>
      </c>
      <c r="F10" s="82">
        <v>16514</v>
      </c>
      <c r="G10" s="82">
        <v>338.48977272727274</v>
      </c>
      <c r="H10" s="82">
        <v>920.86022727272643</v>
      </c>
      <c r="I10" s="279">
        <v>408.68181818181745</v>
      </c>
      <c r="J10" s="279">
        <v>77.846590909090907</v>
      </c>
      <c r="K10" s="280">
        <v>605</v>
      </c>
      <c r="L10" s="280">
        <v>32163</v>
      </c>
      <c r="M10" s="280">
        <v>3196</v>
      </c>
      <c r="N10" s="281">
        <v>2281</v>
      </c>
      <c r="O10" s="281">
        <v>3227</v>
      </c>
      <c r="P10" s="281">
        <v>2282</v>
      </c>
      <c r="Q10" s="281">
        <v>2857</v>
      </c>
      <c r="R10" s="282">
        <v>2186</v>
      </c>
      <c r="S10" s="282">
        <v>3036</v>
      </c>
      <c r="T10" s="82">
        <v>4</v>
      </c>
      <c r="U10" s="82">
        <v>40</v>
      </c>
      <c r="V10" s="82">
        <v>38</v>
      </c>
      <c r="W10" s="82">
        <v>51</v>
      </c>
      <c r="X10" s="82">
        <v>0</v>
      </c>
      <c r="Y10" s="82">
        <v>1</v>
      </c>
      <c r="Z10" s="41" t="s">
        <v>4</v>
      </c>
    </row>
    <row r="11" spans="1:26" x14ac:dyDescent="0.25">
      <c r="A11" s="39" t="str">
        <f>Categorías!A12</f>
        <v>UNIVERSIDAD DEL BÍO-BÍO</v>
      </c>
      <c r="B11" s="39" t="str">
        <f>Categorías!B12</f>
        <v>UBB</v>
      </c>
      <c r="C11" s="40" t="str">
        <f>Categorías!C12</f>
        <v>CRUCH-ESTATAL</v>
      </c>
      <c r="D11" s="39" t="str">
        <f>Categorías!Y12</f>
        <v>Categoría II</v>
      </c>
      <c r="E11" s="82">
        <v>475</v>
      </c>
      <c r="F11" s="82">
        <v>11435</v>
      </c>
      <c r="G11" s="82">
        <v>301.43181818181813</v>
      </c>
      <c r="H11" s="82">
        <v>516.31818181818187</v>
      </c>
      <c r="I11" s="279">
        <v>182.09090909090918</v>
      </c>
      <c r="J11" s="279">
        <v>0</v>
      </c>
      <c r="K11" s="280">
        <v>400</v>
      </c>
      <c r="L11" s="280">
        <v>15836</v>
      </c>
      <c r="M11" s="280">
        <v>2175</v>
      </c>
      <c r="N11" s="281">
        <v>1743</v>
      </c>
      <c r="O11" s="281">
        <v>2162</v>
      </c>
      <c r="P11" s="281">
        <v>1564</v>
      </c>
      <c r="Q11" s="281">
        <v>1887</v>
      </c>
      <c r="R11" s="282">
        <v>1709</v>
      </c>
      <c r="S11" s="282">
        <v>2286</v>
      </c>
      <c r="T11" s="82">
        <v>3</v>
      </c>
      <c r="U11" s="82">
        <v>10</v>
      </c>
      <c r="V11" s="82">
        <v>11</v>
      </c>
      <c r="W11" s="82">
        <v>20</v>
      </c>
      <c r="X11" s="82">
        <v>1</v>
      </c>
      <c r="Y11" s="82">
        <v>1</v>
      </c>
      <c r="Z11" s="41" t="s">
        <v>8</v>
      </c>
    </row>
    <row r="12" spans="1:26" x14ac:dyDescent="0.25">
      <c r="A12" s="39" t="str">
        <f>Categorías!A13</f>
        <v>UNIVERSIDAD DE LA SERENA</v>
      </c>
      <c r="B12" s="39" t="str">
        <f>Categorías!B13</f>
        <v>ULS</v>
      </c>
      <c r="C12" s="40" t="str">
        <f>Categorías!C13</f>
        <v>CRUCH-ESTATAL</v>
      </c>
      <c r="D12" s="39" t="str">
        <f>Categorías!Y13</f>
        <v>Categoría II</v>
      </c>
      <c r="E12" s="82">
        <v>207</v>
      </c>
      <c r="F12" s="82">
        <v>7657</v>
      </c>
      <c r="G12" s="82">
        <v>122.21590909090908</v>
      </c>
      <c r="H12" s="82">
        <v>342.25</v>
      </c>
      <c r="I12" s="279">
        <v>82.051136363636331</v>
      </c>
      <c r="J12" s="279">
        <v>1.4545454545454546</v>
      </c>
      <c r="K12" s="280">
        <v>341</v>
      </c>
      <c r="L12" s="280">
        <v>20689</v>
      </c>
      <c r="M12" s="280">
        <v>1366</v>
      </c>
      <c r="N12" s="281">
        <v>1089</v>
      </c>
      <c r="O12" s="281">
        <v>1632</v>
      </c>
      <c r="P12" s="281">
        <v>1070</v>
      </c>
      <c r="Q12" s="281">
        <v>1320</v>
      </c>
      <c r="R12" s="282">
        <v>1166</v>
      </c>
      <c r="S12" s="282">
        <v>1699</v>
      </c>
      <c r="T12" s="82">
        <v>3</v>
      </c>
      <c r="U12" s="82">
        <v>12</v>
      </c>
      <c r="V12" s="82">
        <v>13</v>
      </c>
      <c r="W12" s="82">
        <v>14</v>
      </c>
      <c r="X12" s="82">
        <v>0</v>
      </c>
      <c r="Y12" s="82"/>
      <c r="Z12" s="41" t="s">
        <v>7</v>
      </c>
    </row>
    <row r="13" spans="1:26" x14ac:dyDescent="0.25">
      <c r="A13" s="39" t="str">
        <f>Categorías!A14</f>
        <v>UNIVERSIDAD DE PLAYA ANCHA CS. EDUCACIÓN</v>
      </c>
      <c r="B13" s="39" t="str">
        <f>Categorías!B14</f>
        <v>UPA</v>
      </c>
      <c r="C13" s="40" t="str">
        <f>Categorías!C14</f>
        <v>CRUCH-ESTATAL</v>
      </c>
      <c r="D13" s="39" t="str">
        <f>Categorías!Y14</f>
        <v>Categoría II</v>
      </c>
      <c r="E13" s="82">
        <v>322</v>
      </c>
      <c r="F13" s="82">
        <v>7058</v>
      </c>
      <c r="G13" s="82">
        <v>163.61363636363635</v>
      </c>
      <c r="H13" s="82">
        <v>472.26136363636357</v>
      </c>
      <c r="I13" s="279">
        <v>189.38636363636371</v>
      </c>
      <c r="J13" s="279">
        <v>0</v>
      </c>
      <c r="K13" s="280">
        <v>151</v>
      </c>
      <c r="L13" s="280">
        <v>3818</v>
      </c>
      <c r="M13" s="280">
        <v>815</v>
      </c>
      <c r="N13" s="281">
        <v>1086</v>
      </c>
      <c r="O13" s="281">
        <v>1403</v>
      </c>
      <c r="P13" s="281">
        <v>951</v>
      </c>
      <c r="Q13" s="281">
        <v>1166</v>
      </c>
      <c r="R13" s="282">
        <v>811</v>
      </c>
      <c r="S13" s="282">
        <v>1127</v>
      </c>
      <c r="T13" s="82">
        <v>0</v>
      </c>
      <c r="U13" s="82">
        <v>10</v>
      </c>
      <c r="V13" s="82">
        <v>9</v>
      </c>
      <c r="W13" s="82">
        <v>2</v>
      </c>
      <c r="X13" s="82">
        <v>0</v>
      </c>
      <c r="Y13" s="82"/>
      <c r="Z13" s="41" t="s">
        <v>27</v>
      </c>
    </row>
    <row r="14" spans="1:26" x14ac:dyDescent="0.25">
      <c r="A14" s="39" t="str">
        <f>Categorías!A15</f>
        <v>UNIVERSIDAD ARTURO PRAT</v>
      </c>
      <c r="B14" s="39" t="str">
        <f>Categorías!B15</f>
        <v>UAP</v>
      </c>
      <c r="C14" s="40" t="str">
        <f>Categorías!C15</f>
        <v>CRUCH-ESTATAL</v>
      </c>
      <c r="D14" s="39" t="str">
        <f>Categorías!Y15</f>
        <v>Categoría II</v>
      </c>
      <c r="E14" s="82">
        <v>268</v>
      </c>
      <c r="F14" s="82">
        <v>9994</v>
      </c>
      <c r="G14" s="82">
        <v>89.068181818181841</v>
      </c>
      <c r="H14" s="82">
        <v>398.72727272727275</v>
      </c>
      <c r="I14" s="279">
        <v>191.4545454545455</v>
      </c>
      <c r="J14" s="279">
        <v>2.5</v>
      </c>
      <c r="K14" s="280">
        <v>150</v>
      </c>
      <c r="L14" s="280">
        <v>6595</v>
      </c>
      <c r="M14" s="280">
        <v>803</v>
      </c>
      <c r="N14" s="281">
        <v>766</v>
      </c>
      <c r="O14" s="281">
        <v>1094</v>
      </c>
      <c r="P14" s="281">
        <v>624</v>
      </c>
      <c r="Q14" s="281">
        <v>857</v>
      </c>
      <c r="R14" s="282">
        <v>666</v>
      </c>
      <c r="S14" s="282">
        <v>1102</v>
      </c>
      <c r="T14" s="82">
        <v>0</v>
      </c>
      <c r="U14" s="82">
        <v>0</v>
      </c>
      <c r="V14" s="82"/>
      <c r="W14" s="82">
        <v>0</v>
      </c>
      <c r="X14" s="82">
        <v>0</v>
      </c>
      <c r="Y14" s="82"/>
      <c r="Z14" s="41" t="s">
        <v>23</v>
      </c>
    </row>
    <row r="15" spans="1:26" x14ac:dyDescent="0.25">
      <c r="A15" s="39" t="str">
        <f>Categorías!A16</f>
        <v>UNIVERSIDAD DE ATACAMA</v>
      </c>
      <c r="B15" s="39" t="str">
        <f>Categorías!B16</f>
        <v>ATA</v>
      </c>
      <c r="C15" s="40" t="str">
        <f>Categorías!C16</f>
        <v>CRUCH-ESTATAL</v>
      </c>
      <c r="D15" s="39" t="str">
        <f>Categorías!Y16</f>
        <v>Categoría II</v>
      </c>
      <c r="E15" s="82">
        <v>330</v>
      </c>
      <c r="F15" s="82">
        <v>7692</v>
      </c>
      <c r="G15" s="82">
        <v>98.5</v>
      </c>
      <c r="H15" s="82">
        <v>336.25</v>
      </c>
      <c r="I15" s="279">
        <v>110.5</v>
      </c>
      <c r="J15" s="279">
        <v>3</v>
      </c>
      <c r="K15" s="280">
        <v>213</v>
      </c>
      <c r="L15" s="280">
        <v>10915</v>
      </c>
      <c r="M15" s="280">
        <v>1093</v>
      </c>
      <c r="N15" s="281">
        <v>754</v>
      </c>
      <c r="O15" s="281">
        <v>1153</v>
      </c>
      <c r="P15" s="281">
        <v>760</v>
      </c>
      <c r="Q15" s="281">
        <v>966</v>
      </c>
      <c r="R15" s="282">
        <v>603</v>
      </c>
      <c r="S15" s="282">
        <v>889</v>
      </c>
      <c r="T15" s="82">
        <v>0</v>
      </c>
      <c r="U15" s="82">
        <v>0</v>
      </c>
      <c r="V15" s="82">
        <v>4</v>
      </c>
      <c r="W15" s="82">
        <v>0</v>
      </c>
      <c r="X15" s="82">
        <v>0</v>
      </c>
      <c r="Y15" s="82"/>
      <c r="Z15" s="41" t="s">
        <v>24</v>
      </c>
    </row>
    <row r="16" spans="1:26" x14ac:dyDescent="0.25">
      <c r="A16" s="39" t="str">
        <f>Categorías!A17</f>
        <v>UNIVERSIDAD DE LOS LAGOS</v>
      </c>
      <c r="B16" s="39" t="str">
        <f>Categorías!B17</f>
        <v>ULA</v>
      </c>
      <c r="C16" s="40" t="str">
        <f>Categorías!C17</f>
        <v>CRUCH-ESTATAL</v>
      </c>
      <c r="D16" s="39" t="str">
        <f>Categorías!Y17</f>
        <v>Categoría II</v>
      </c>
      <c r="E16" s="82">
        <v>386</v>
      </c>
      <c r="F16" s="82">
        <v>10110</v>
      </c>
      <c r="G16" s="82">
        <v>153.61363636363637</v>
      </c>
      <c r="H16" s="82">
        <v>509.88545454545459</v>
      </c>
      <c r="I16" s="279">
        <v>229.02863636363634</v>
      </c>
      <c r="J16" s="279">
        <v>0</v>
      </c>
      <c r="K16" s="280">
        <v>227</v>
      </c>
      <c r="L16" s="280">
        <v>9859</v>
      </c>
      <c r="M16" s="280">
        <v>1243</v>
      </c>
      <c r="N16" s="281">
        <v>1431</v>
      </c>
      <c r="O16" s="281">
        <v>1758</v>
      </c>
      <c r="P16" s="281">
        <v>1203</v>
      </c>
      <c r="Q16" s="281">
        <v>1334</v>
      </c>
      <c r="R16" s="282">
        <v>1050</v>
      </c>
      <c r="S16" s="282">
        <v>1401</v>
      </c>
      <c r="T16" s="82">
        <v>0</v>
      </c>
      <c r="U16" s="82">
        <v>3</v>
      </c>
      <c r="V16" s="82">
        <v>14</v>
      </c>
      <c r="W16" s="82">
        <v>3</v>
      </c>
      <c r="X16" s="82">
        <v>0</v>
      </c>
      <c r="Y16" s="82"/>
      <c r="Z16" s="41" t="s">
        <v>25</v>
      </c>
    </row>
    <row r="17" spans="1:26" x14ac:dyDescent="0.25">
      <c r="A17" s="39" t="str">
        <f>Categorías!A18</f>
        <v>UNIVERSIDAD DE MAGALLANES</v>
      </c>
      <c r="B17" s="39" t="str">
        <f>Categorías!B18</f>
        <v>MAG</v>
      </c>
      <c r="C17" s="40" t="str">
        <f>Categorías!C18</f>
        <v>CRUCH-ESTATAL</v>
      </c>
      <c r="D17" s="39" t="str">
        <f>Categorías!Y18</f>
        <v>Categoría II</v>
      </c>
      <c r="E17" s="82">
        <v>237</v>
      </c>
      <c r="F17" s="82">
        <v>4046</v>
      </c>
      <c r="G17" s="82">
        <v>103.48454545454545</v>
      </c>
      <c r="H17" s="82">
        <v>316.13977272727271</v>
      </c>
      <c r="I17" s="279">
        <v>86.382500000000007</v>
      </c>
      <c r="J17" s="279">
        <v>5.1265909090909103</v>
      </c>
      <c r="K17" s="280">
        <v>177</v>
      </c>
      <c r="L17" s="280">
        <v>10061</v>
      </c>
      <c r="M17" s="280">
        <v>838</v>
      </c>
      <c r="N17" s="281">
        <v>425</v>
      </c>
      <c r="O17" s="281">
        <v>785</v>
      </c>
      <c r="P17" s="281">
        <v>495</v>
      </c>
      <c r="Q17" s="281">
        <v>583</v>
      </c>
      <c r="R17" s="282">
        <v>394</v>
      </c>
      <c r="S17" s="282">
        <v>566</v>
      </c>
      <c r="T17" s="82">
        <v>0</v>
      </c>
      <c r="U17" s="82">
        <v>3</v>
      </c>
      <c r="V17" s="82">
        <v>2</v>
      </c>
      <c r="W17" s="82">
        <v>2</v>
      </c>
      <c r="X17" s="82">
        <v>1</v>
      </c>
      <c r="Y17" s="82"/>
      <c r="Z17" s="41" t="s">
        <v>26</v>
      </c>
    </row>
    <row r="18" spans="1:26" x14ac:dyDescent="0.25">
      <c r="A18" s="39" t="str">
        <f>Categorías!A19</f>
        <v>UNIVERSIDAD METROPOLITANA DE CS.DE LA EDUCACIÓN</v>
      </c>
      <c r="B18" s="39" t="str">
        <f>Categorías!B19</f>
        <v>UMC</v>
      </c>
      <c r="C18" s="40" t="str">
        <f>Categorías!C19</f>
        <v>CRUCH-ESTATAL</v>
      </c>
      <c r="D18" s="39" t="str">
        <f>Categorías!Y19</f>
        <v>Categoría III</v>
      </c>
      <c r="E18" s="82">
        <v>231</v>
      </c>
      <c r="F18" s="82">
        <v>3913</v>
      </c>
      <c r="G18" s="82">
        <v>108.96886363636365</v>
      </c>
      <c r="H18" s="82">
        <v>318.55227272727268</v>
      </c>
      <c r="I18" s="279">
        <v>132.17386363636362</v>
      </c>
      <c r="J18" s="279">
        <v>0</v>
      </c>
      <c r="K18" s="280">
        <v>98</v>
      </c>
      <c r="L18" s="280">
        <v>2306</v>
      </c>
      <c r="M18" s="280">
        <v>541</v>
      </c>
      <c r="N18" s="281">
        <v>533</v>
      </c>
      <c r="O18" s="281">
        <v>798</v>
      </c>
      <c r="P18" s="281">
        <v>498</v>
      </c>
      <c r="Q18" s="281">
        <v>581</v>
      </c>
      <c r="R18" s="282">
        <v>660</v>
      </c>
      <c r="S18" s="282">
        <v>890</v>
      </c>
      <c r="T18" s="82">
        <v>5</v>
      </c>
      <c r="U18" s="82">
        <v>0</v>
      </c>
      <c r="V18" s="82">
        <v>8</v>
      </c>
      <c r="W18" s="82">
        <v>9</v>
      </c>
      <c r="X18" s="82">
        <v>0</v>
      </c>
      <c r="Y18" s="82"/>
      <c r="Z18" s="41" t="s">
        <v>28</v>
      </c>
    </row>
    <row r="19" spans="1:26" x14ac:dyDescent="0.25">
      <c r="A19" s="39" t="str">
        <f>Categorías!A20</f>
        <v>UNIVERSIDAD TECNOLÓGICA METROPOLITANA</v>
      </c>
      <c r="B19" s="39" t="str">
        <f>Categorías!B20</f>
        <v>UTM</v>
      </c>
      <c r="C19" s="40" t="str">
        <f>Categorías!C20</f>
        <v>CRUCH-ESTATAL</v>
      </c>
      <c r="D19" s="39" t="str">
        <f>Categorías!Y20</f>
        <v>Categoría II</v>
      </c>
      <c r="E19" s="82">
        <v>219</v>
      </c>
      <c r="F19" s="82">
        <v>8218</v>
      </c>
      <c r="G19" s="82">
        <v>135.31818181818184</v>
      </c>
      <c r="H19" s="82">
        <v>371.13636363636397</v>
      </c>
      <c r="I19" s="279">
        <v>152.1136363636366</v>
      </c>
      <c r="J19" s="279">
        <v>0</v>
      </c>
      <c r="K19" s="280">
        <v>230</v>
      </c>
      <c r="L19" s="280">
        <v>8213</v>
      </c>
      <c r="M19" s="280">
        <v>938</v>
      </c>
      <c r="N19" s="281">
        <v>1301</v>
      </c>
      <c r="O19" s="281">
        <v>1638</v>
      </c>
      <c r="P19" s="281">
        <v>1008</v>
      </c>
      <c r="Q19" s="281">
        <v>1429</v>
      </c>
      <c r="R19" s="282">
        <v>1310</v>
      </c>
      <c r="S19" s="282">
        <v>1990</v>
      </c>
      <c r="T19" s="82">
        <v>0</v>
      </c>
      <c r="U19" s="82">
        <v>0</v>
      </c>
      <c r="V19" s="82"/>
      <c r="W19" s="82">
        <v>0</v>
      </c>
      <c r="X19" s="82">
        <v>0</v>
      </c>
      <c r="Y19" s="82">
        <v>1</v>
      </c>
      <c r="Z19" s="41" t="s">
        <v>29</v>
      </c>
    </row>
    <row r="20" spans="1:26" x14ac:dyDescent="0.25">
      <c r="A20" s="39" t="str">
        <f>Categorías!A21</f>
        <v>U. DE O'HIGGINS</v>
      </c>
      <c r="B20" s="39" t="str">
        <f>Categorías!B21</f>
        <v>URO</v>
      </c>
      <c r="C20" s="40" t="str">
        <f>Categorías!C21</f>
        <v>CRUCH-ESTATAL</v>
      </c>
      <c r="D20" s="39" t="str">
        <f>Categorías!Y21</f>
        <v>Categoría III</v>
      </c>
      <c r="E20" s="82">
        <v>150</v>
      </c>
      <c r="F20" s="82">
        <v>6163</v>
      </c>
      <c r="G20" s="82">
        <v>98.090909090908909</v>
      </c>
      <c r="H20" s="82">
        <v>307.33522727272691</v>
      </c>
      <c r="I20" s="279">
        <v>70.647727272727238</v>
      </c>
      <c r="J20" s="279">
        <v>5.9147727272727284</v>
      </c>
      <c r="K20" s="280">
        <v>210</v>
      </c>
      <c r="L20" s="280">
        <v>6370</v>
      </c>
      <c r="M20" s="280">
        <v>790</v>
      </c>
      <c r="N20" s="281">
        <v>1343</v>
      </c>
      <c r="O20" s="281">
        <v>1806</v>
      </c>
      <c r="P20" s="281">
        <v>1144</v>
      </c>
      <c r="Q20" s="281">
        <v>1349</v>
      </c>
      <c r="R20" s="282">
        <v>939</v>
      </c>
      <c r="S20" s="282">
        <v>1216</v>
      </c>
      <c r="T20" s="82">
        <v>0</v>
      </c>
      <c r="U20" s="82">
        <v>0</v>
      </c>
      <c r="V20" s="82"/>
      <c r="W20" s="82">
        <v>0</v>
      </c>
      <c r="X20" s="82">
        <v>0</v>
      </c>
      <c r="Y20" s="82"/>
      <c r="Z20" s="41" t="s">
        <v>89</v>
      </c>
    </row>
    <row r="21" spans="1:26" x14ac:dyDescent="0.25">
      <c r="A21" s="39" t="str">
        <f>Categorías!A22</f>
        <v>U. DE AYSÉN</v>
      </c>
      <c r="B21" s="39" t="str">
        <f>Categorías!B22</f>
        <v>URY</v>
      </c>
      <c r="C21" s="40" t="str">
        <f>Categorías!C22</f>
        <v>CRUCH-ESTATAL</v>
      </c>
      <c r="D21" s="39" t="str">
        <f>Categorías!Y22</f>
        <v>Categoría III</v>
      </c>
      <c r="E21" s="82">
        <v>64</v>
      </c>
      <c r="F21" s="82">
        <v>652</v>
      </c>
      <c r="G21" s="82">
        <v>32.090909090909093</v>
      </c>
      <c r="H21" s="82">
        <v>70.27272727272728</v>
      </c>
      <c r="I21" s="279">
        <v>19.795454545454547</v>
      </c>
      <c r="J21" s="279">
        <v>0</v>
      </c>
      <c r="K21" s="280">
        <v>28</v>
      </c>
      <c r="L21" s="280">
        <v>1753</v>
      </c>
      <c r="M21" s="280">
        <v>152</v>
      </c>
      <c r="N21" s="281">
        <v>115</v>
      </c>
      <c r="O21" s="281">
        <v>171</v>
      </c>
      <c r="P21" s="281">
        <v>109</v>
      </c>
      <c r="Q21" s="281">
        <v>143</v>
      </c>
      <c r="R21" s="282">
        <v>93</v>
      </c>
      <c r="S21" s="282">
        <v>144</v>
      </c>
      <c r="T21" s="82">
        <v>0</v>
      </c>
      <c r="U21" s="82">
        <v>0</v>
      </c>
      <c r="V21" s="82"/>
      <c r="W21" s="82">
        <v>0</v>
      </c>
      <c r="X21" s="82">
        <v>0</v>
      </c>
      <c r="Y21" s="82"/>
      <c r="Z21" s="41" t="s">
        <v>91</v>
      </c>
    </row>
    <row r="22" spans="1:26" x14ac:dyDescent="0.25">
      <c r="E22" s="38">
        <v>7366</v>
      </c>
      <c r="F22" s="38">
        <v>204959</v>
      </c>
      <c r="G22" s="38">
        <v>4592.3806818181847</v>
      </c>
      <c r="H22" s="38">
        <v>10624.331818181818</v>
      </c>
      <c r="I22" s="38">
        <v>3265.3993181818155</v>
      </c>
      <c r="J22" s="38">
        <v>557.6334090909088</v>
      </c>
      <c r="K22" s="38">
        <v>9690</v>
      </c>
      <c r="L22" s="38">
        <v>517806</v>
      </c>
      <c r="M22" s="38">
        <v>49422</v>
      </c>
      <c r="N22" s="38">
        <v>24295</v>
      </c>
      <c r="O22" s="38">
        <v>35830</v>
      </c>
      <c r="P22" s="38">
        <v>26002</v>
      </c>
      <c r="Q22" s="38">
        <v>31177</v>
      </c>
      <c r="R22" s="38">
        <v>25178</v>
      </c>
      <c r="S22" s="38">
        <v>33975</v>
      </c>
      <c r="T22" s="38">
        <v>68</v>
      </c>
      <c r="U22" s="38">
        <v>426</v>
      </c>
      <c r="V22" s="38">
        <v>513</v>
      </c>
      <c r="W22" s="38">
        <v>498</v>
      </c>
      <c r="X22" s="38">
        <v>18</v>
      </c>
      <c r="Y22" s="38">
        <v>14</v>
      </c>
      <c r="Z22" s="41"/>
    </row>
    <row r="28" spans="1:26" x14ac:dyDescent="0.25">
      <c r="L28" s="17"/>
    </row>
    <row r="29" spans="1:26" x14ac:dyDescent="0.25">
      <c r="A29" s="7"/>
      <c r="L29" s="17"/>
    </row>
    <row r="30" spans="1:26" x14ac:dyDescent="0.25">
      <c r="L30" s="17"/>
    </row>
    <row r="31" spans="1:26" x14ac:dyDescent="0.25">
      <c r="L31" s="17"/>
    </row>
    <row r="32" spans="1:26" x14ac:dyDescent="0.25">
      <c r="L32" s="17"/>
    </row>
    <row r="33" spans="12:12" x14ac:dyDescent="0.25">
      <c r="L33" s="17"/>
    </row>
    <row r="34" spans="12:12" x14ac:dyDescent="0.25">
      <c r="L34" s="17"/>
    </row>
    <row r="35" spans="12:12" x14ac:dyDescent="0.25">
      <c r="L35" s="17"/>
    </row>
    <row r="36" spans="12:12" x14ac:dyDescent="0.25">
      <c r="L36" s="17"/>
    </row>
    <row r="37" spans="12:12" x14ac:dyDescent="0.25">
      <c r="L37" s="17"/>
    </row>
    <row r="38" spans="12:12" x14ac:dyDescent="0.25">
      <c r="L38" s="17"/>
    </row>
    <row r="39" spans="12:12" x14ac:dyDescent="0.25">
      <c r="L39" s="17"/>
    </row>
    <row r="40" spans="12:12" x14ac:dyDescent="0.25">
      <c r="L40" s="17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Z38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N29" sqref="N29"/>
    </sheetView>
  </sheetViews>
  <sheetFormatPr baseColWidth="10" defaultRowHeight="15" x14ac:dyDescent="0.25"/>
  <cols>
    <col min="1" max="1" width="47" customWidth="1"/>
    <col min="2" max="2" width="14.140625" customWidth="1"/>
    <col min="3" max="3" width="11.28515625" customWidth="1"/>
    <col min="4" max="24" width="7.7109375" customWidth="1"/>
    <col min="25" max="25" width="11.28515625" customWidth="1"/>
    <col min="26" max="26" width="23.42578125" bestFit="1" customWidth="1"/>
  </cols>
  <sheetData>
    <row r="1" spans="1:26" x14ac:dyDescent="0.25">
      <c r="A1" s="16" t="s">
        <v>140</v>
      </c>
    </row>
    <row r="2" spans="1:26" x14ac:dyDescent="0.25">
      <c r="B2" s="240">
        <v>1</v>
      </c>
      <c r="C2" s="240">
        <v>2</v>
      </c>
      <c r="D2" s="240">
        <v>3</v>
      </c>
      <c r="E2" s="240">
        <v>4</v>
      </c>
      <c r="F2" s="240">
        <v>5</v>
      </c>
      <c r="G2" s="240">
        <v>6</v>
      </c>
      <c r="H2" s="240">
        <v>7</v>
      </c>
      <c r="I2" s="240">
        <v>8</v>
      </c>
      <c r="J2" s="240">
        <v>9</v>
      </c>
      <c r="K2" s="240">
        <v>10</v>
      </c>
      <c r="L2" s="240">
        <v>11</v>
      </c>
      <c r="M2" s="240">
        <v>12</v>
      </c>
      <c r="N2" s="240">
        <v>13</v>
      </c>
      <c r="O2" s="240">
        <v>14</v>
      </c>
      <c r="P2" s="240">
        <v>15</v>
      </c>
      <c r="Q2" s="240">
        <v>16</v>
      </c>
      <c r="R2" s="240">
        <v>17</v>
      </c>
      <c r="S2" s="240">
        <v>18</v>
      </c>
      <c r="T2" s="240">
        <v>19</v>
      </c>
      <c r="U2" s="240">
        <v>20</v>
      </c>
      <c r="V2" s="240">
        <v>21</v>
      </c>
      <c r="W2" s="240">
        <v>22</v>
      </c>
      <c r="X2" s="240">
        <v>23</v>
      </c>
      <c r="Y2" s="240">
        <v>24</v>
      </c>
      <c r="Z2" s="240">
        <v>25</v>
      </c>
    </row>
    <row r="3" spans="1:26" s="74" customFormat="1" ht="25.5" customHeight="1" x14ac:dyDescent="0.25">
      <c r="D3" s="437" t="s">
        <v>132</v>
      </c>
      <c r="E3" s="438"/>
      <c r="F3" s="438"/>
      <c r="G3" s="438"/>
      <c r="H3" s="438"/>
      <c r="I3" s="439"/>
      <c r="J3" s="296"/>
      <c r="K3" s="436" t="s">
        <v>133</v>
      </c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</row>
    <row r="4" spans="1:26" ht="39" customHeight="1" x14ac:dyDescent="0.25">
      <c r="A4" s="19" t="s">
        <v>11</v>
      </c>
      <c r="B4" s="19" t="s">
        <v>1</v>
      </c>
      <c r="C4" s="19" t="s">
        <v>21</v>
      </c>
      <c r="D4" s="248">
        <v>3</v>
      </c>
      <c r="E4" s="248">
        <v>4</v>
      </c>
      <c r="F4" s="248">
        <v>5</v>
      </c>
      <c r="G4" s="248">
        <v>6</v>
      </c>
      <c r="H4" s="248">
        <v>7</v>
      </c>
      <c r="I4" s="248">
        <v>9</v>
      </c>
      <c r="J4" s="249" t="s">
        <v>37</v>
      </c>
      <c r="K4" s="250">
        <v>2</v>
      </c>
      <c r="L4" s="250">
        <v>3</v>
      </c>
      <c r="M4" s="250">
        <v>4</v>
      </c>
      <c r="N4" s="250">
        <v>5</v>
      </c>
      <c r="O4" s="250">
        <v>6</v>
      </c>
      <c r="P4" s="250">
        <v>7</v>
      </c>
      <c r="Q4" s="250">
        <v>8</v>
      </c>
      <c r="R4" s="250">
        <v>9</v>
      </c>
      <c r="S4" s="250">
        <v>10</v>
      </c>
      <c r="T4" s="251" t="s">
        <v>134</v>
      </c>
      <c r="U4" s="247" t="s">
        <v>135</v>
      </c>
      <c r="V4" s="247" t="s">
        <v>136</v>
      </c>
      <c r="W4" s="247" t="s">
        <v>38</v>
      </c>
      <c r="X4" s="247" t="s">
        <v>424</v>
      </c>
      <c r="Y4" s="78" t="s">
        <v>39</v>
      </c>
      <c r="Z4" s="78" t="s">
        <v>69</v>
      </c>
    </row>
    <row r="5" spans="1:26" x14ac:dyDescent="0.25">
      <c r="A5" s="1" t="s">
        <v>12</v>
      </c>
      <c r="B5" s="1" t="s">
        <v>2</v>
      </c>
      <c r="C5" s="2" t="s">
        <v>22</v>
      </c>
      <c r="D5" s="252">
        <v>0</v>
      </c>
      <c r="E5" s="252">
        <v>0</v>
      </c>
      <c r="F5" s="252">
        <v>1</v>
      </c>
      <c r="G5" s="252">
        <v>0</v>
      </c>
      <c r="H5" s="252">
        <v>2</v>
      </c>
      <c r="I5" s="252">
        <v>0</v>
      </c>
      <c r="J5" s="253">
        <v>3</v>
      </c>
      <c r="K5" s="252">
        <v>0</v>
      </c>
      <c r="L5" s="252">
        <v>5</v>
      </c>
      <c r="M5" s="252">
        <v>5</v>
      </c>
      <c r="N5" s="252">
        <v>13</v>
      </c>
      <c r="O5" s="252">
        <v>3</v>
      </c>
      <c r="P5" s="252">
        <v>8</v>
      </c>
      <c r="Q5" s="252">
        <v>3</v>
      </c>
      <c r="R5" s="252">
        <v>1</v>
      </c>
      <c r="S5" s="252">
        <v>1</v>
      </c>
      <c r="T5" s="254">
        <v>39</v>
      </c>
      <c r="U5" s="255">
        <v>42</v>
      </c>
      <c r="V5" s="255">
        <f>SUM(F5:I5)</f>
        <v>3</v>
      </c>
      <c r="W5" s="255">
        <f>T5+V5</f>
        <v>42</v>
      </c>
      <c r="X5" s="304">
        <f>+VLOOKUP(B5,Publicaciones!$B$3:$C$20,2,0)</f>
        <v>3237</v>
      </c>
      <c r="Y5" s="79" t="str">
        <f>IF(AND(W5&gt;=10,X5&gt;=300),"Categoría I",IF(AND(W5&gt;=1,X5&gt;=100),"Categoría II","Categoría III"))</f>
        <v>Categoría I</v>
      </c>
      <c r="Z5" s="79" t="str">
        <f t="shared" ref="Z5:Z22" si="0">CONCATENATE(C5,Y5)</f>
        <v>CRUCH-ESTATALCategoría I</v>
      </c>
    </row>
    <row r="6" spans="1:26" x14ac:dyDescent="0.25">
      <c r="A6" s="1" t="s">
        <v>13</v>
      </c>
      <c r="B6" s="1" t="s">
        <v>3</v>
      </c>
      <c r="C6" s="2" t="s">
        <v>22</v>
      </c>
      <c r="D6" s="252">
        <v>0</v>
      </c>
      <c r="E6" s="252">
        <v>0</v>
      </c>
      <c r="F6" s="252">
        <v>0</v>
      </c>
      <c r="G6" s="252">
        <v>0</v>
      </c>
      <c r="H6" s="252">
        <v>1</v>
      </c>
      <c r="I6" s="252">
        <v>0</v>
      </c>
      <c r="J6" s="253">
        <v>1</v>
      </c>
      <c r="K6" s="252">
        <v>1</v>
      </c>
      <c r="L6" s="252">
        <v>1</v>
      </c>
      <c r="M6" s="252">
        <v>0</v>
      </c>
      <c r="N6" s="252">
        <v>2</v>
      </c>
      <c r="O6" s="252">
        <v>3</v>
      </c>
      <c r="P6" s="252">
        <v>2</v>
      </c>
      <c r="Q6" s="252">
        <v>3</v>
      </c>
      <c r="R6" s="252">
        <v>1</v>
      </c>
      <c r="S6" s="252">
        <v>0</v>
      </c>
      <c r="T6" s="254">
        <v>13</v>
      </c>
      <c r="U6" s="255">
        <v>14</v>
      </c>
      <c r="V6" s="255">
        <f>SUM(F6:I6)</f>
        <v>1</v>
      </c>
      <c r="W6" s="255">
        <f t="shared" ref="W6:W20" si="1">T6+V6</f>
        <v>14</v>
      </c>
      <c r="X6" s="304">
        <f>+VLOOKUP(B6,Publicaciones!$B$3:$C$20,2,0)</f>
        <v>954</v>
      </c>
      <c r="Y6" s="79" t="str">
        <f t="shared" ref="Y6:Y22" si="2">IF(AND(W6&gt;=10,X6&gt;=300),"Categoría I",IF(AND(W6&gt;=1,X6&gt;=100),"Categoría II","Categoría III"))</f>
        <v>Categoría I</v>
      </c>
      <c r="Z6" s="79" t="str">
        <f t="shared" si="0"/>
        <v>CRUCH-ESTATALCategoría I</v>
      </c>
    </row>
    <row r="7" spans="1:26" x14ac:dyDescent="0.25">
      <c r="A7" s="1" t="s">
        <v>19</v>
      </c>
      <c r="B7" s="1" t="s">
        <v>9</v>
      </c>
      <c r="C7" s="2" t="s">
        <v>22</v>
      </c>
      <c r="D7" s="252">
        <v>0</v>
      </c>
      <c r="E7" s="252">
        <v>0</v>
      </c>
      <c r="F7" s="252">
        <v>0</v>
      </c>
      <c r="G7" s="252">
        <v>0</v>
      </c>
      <c r="H7" s="252">
        <v>0</v>
      </c>
      <c r="I7" s="252">
        <v>0</v>
      </c>
      <c r="J7" s="253">
        <v>0</v>
      </c>
      <c r="K7" s="252">
        <v>0</v>
      </c>
      <c r="L7" s="252">
        <v>2</v>
      </c>
      <c r="M7" s="252">
        <v>2</v>
      </c>
      <c r="N7" s="252">
        <v>0</v>
      </c>
      <c r="O7" s="252">
        <v>0</v>
      </c>
      <c r="P7" s="252">
        <v>0</v>
      </c>
      <c r="Q7" s="252">
        <v>1</v>
      </c>
      <c r="R7" s="252">
        <v>0</v>
      </c>
      <c r="S7" s="252">
        <v>0</v>
      </c>
      <c r="T7" s="254">
        <v>5</v>
      </c>
      <c r="U7" s="255">
        <v>5</v>
      </c>
      <c r="V7" s="255">
        <f t="shared" ref="V7:V22" si="3">SUM(F7:I7)</f>
        <v>0</v>
      </c>
      <c r="W7" s="255">
        <f t="shared" si="1"/>
        <v>5</v>
      </c>
      <c r="X7" s="304">
        <f>+VLOOKUP(B7,Publicaciones!$B$3:$C$20,2,0)</f>
        <v>313</v>
      </c>
      <c r="Y7" s="79" t="str">
        <f t="shared" si="2"/>
        <v>Categoría II</v>
      </c>
      <c r="Z7" s="79" t="str">
        <f t="shared" si="0"/>
        <v>CRUCH-ESTATALCategoría II</v>
      </c>
    </row>
    <row r="8" spans="1:26" x14ac:dyDescent="0.25">
      <c r="A8" s="1" t="s">
        <v>16</v>
      </c>
      <c r="B8" s="1" t="s">
        <v>6</v>
      </c>
      <c r="C8" s="2" t="s">
        <v>22</v>
      </c>
      <c r="D8" s="252">
        <v>1</v>
      </c>
      <c r="E8" s="252">
        <v>1</v>
      </c>
      <c r="F8" s="252">
        <v>0</v>
      </c>
      <c r="G8" s="252">
        <v>0</v>
      </c>
      <c r="H8" s="252">
        <v>0</v>
      </c>
      <c r="I8" s="252">
        <v>0</v>
      </c>
      <c r="J8" s="253">
        <v>2</v>
      </c>
      <c r="K8" s="252">
        <v>0</v>
      </c>
      <c r="L8" s="252">
        <v>0</v>
      </c>
      <c r="M8" s="252">
        <v>0</v>
      </c>
      <c r="N8" s="252">
        <v>4</v>
      </c>
      <c r="O8" s="252">
        <v>2</v>
      </c>
      <c r="P8" s="252">
        <v>2</v>
      </c>
      <c r="Q8" s="252">
        <v>1</v>
      </c>
      <c r="R8" s="252">
        <v>0</v>
      </c>
      <c r="S8" s="252">
        <v>0</v>
      </c>
      <c r="T8" s="254">
        <v>9</v>
      </c>
      <c r="U8" s="255">
        <v>11</v>
      </c>
      <c r="V8" s="255">
        <f t="shared" si="3"/>
        <v>0</v>
      </c>
      <c r="W8" s="255">
        <f t="shared" si="1"/>
        <v>9</v>
      </c>
      <c r="X8" s="304">
        <f>+VLOOKUP(B8,Publicaciones!$B$3:$C$20,2,0)</f>
        <v>917</v>
      </c>
      <c r="Y8" s="79" t="str">
        <f t="shared" si="2"/>
        <v>Categoría II</v>
      </c>
      <c r="Z8" s="79" t="str">
        <f t="shared" si="0"/>
        <v>CRUCH-ESTATALCategoría II</v>
      </c>
    </row>
    <row r="9" spans="1:26" x14ac:dyDescent="0.25">
      <c r="A9" s="1" t="s">
        <v>15</v>
      </c>
      <c r="B9" s="1" t="s">
        <v>5</v>
      </c>
      <c r="C9" s="2" t="s">
        <v>22</v>
      </c>
      <c r="D9" s="252">
        <v>1</v>
      </c>
      <c r="E9" s="252">
        <v>0</v>
      </c>
      <c r="F9" s="252">
        <v>0</v>
      </c>
      <c r="G9" s="252">
        <v>0</v>
      </c>
      <c r="H9" s="252">
        <v>0</v>
      </c>
      <c r="I9" s="252">
        <v>0</v>
      </c>
      <c r="J9" s="253">
        <v>1</v>
      </c>
      <c r="K9" s="252">
        <v>0</v>
      </c>
      <c r="L9" s="252">
        <v>3</v>
      </c>
      <c r="M9" s="252">
        <v>0</v>
      </c>
      <c r="N9" s="252">
        <v>3</v>
      </c>
      <c r="O9" s="252">
        <v>3</v>
      </c>
      <c r="P9" s="252">
        <v>2</v>
      </c>
      <c r="Q9" s="252">
        <v>0</v>
      </c>
      <c r="R9" s="252">
        <v>0</v>
      </c>
      <c r="S9" s="252">
        <v>0</v>
      </c>
      <c r="T9" s="254">
        <v>11</v>
      </c>
      <c r="U9" s="255">
        <v>12</v>
      </c>
      <c r="V9" s="255">
        <f t="shared" si="3"/>
        <v>0</v>
      </c>
      <c r="W9" s="255">
        <f t="shared" si="1"/>
        <v>11</v>
      </c>
      <c r="X9" s="304">
        <f>+VLOOKUP(B9,Publicaciones!$B$3:$C$20,2,0)</f>
        <v>648</v>
      </c>
      <c r="Y9" s="79" t="str">
        <f t="shared" si="2"/>
        <v>Categoría I</v>
      </c>
      <c r="Z9" s="79" t="str">
        <f t="shared" si="0"/>
        <v>CRUCH-ESTATALCategoría I</v>
      </c>
    </row>
    <row r="10" spans="1:26" x14ac:dyDescent="0.25">
      <c r="A10" s="1" t="s">
        <v>20</v>
      </c>
      <c r="B10" s="1" t="s">
        <v>10</v>
      </c>
      <c r="C10" s="2" t="s">
        <v>22</v>
      </c>
      <c r="D10" s="252">
        <v>0</v>
      </c>
      <c r="E10" s="252">
        <v>0</v>
      </c>
      <c r="F10" s="252">
        <v>2</v>
      </c>
      <c r="G10" s="252">
        <v>0</v>
      </c>
      <c r="H10" s="252">
        <v>0</v>
      </c>
      <c r="I10" s="252">
        <v>0</v>
      </c>
      <c r="J10" s="253">
        <v>2</v>
      </c>
      <c r="K10" s="252">
        <v>0</v>
      </c>
      <c r="L10" s="252">
        <v>4</v>
      </c>
      <c r="M10" s="252">
        <v>0</v>
      </c>
      <c r="N10" s="252">
        <v>0</v>
      </c>
      <c r="O10" s="252">
        <v>0</v>
      </c>
      <c r="P10" s="252">
        <v>0</v>
      </c>
      <c r="Q10" s="252">
        <v>0</v>
      </c>
      <c r="R10" s="252">
        <v>0</v>
      </c>
      <c r="S10" s="252">
        <v>0</v>
      </c>
      <c r="T10" s="254">
        <v>4</v>
      </c>
      <c r="U10" s="255">
        <v>6</v>
      </c>
      <c r="V10" s="255">
        <f t="shared" si="3"/>
        <v>2</v>
      </c>
      <c r="W10" s="255">
        <f t="shared" si="1"/>
        <v>6</v>
      </c>
      <c r="X10" s="304">
        <f>+VLOOKUP(B10,Publicaciones!$B$3:$C$20,2,0)</f>
        <v>791</v>
      </c>
      <c r="Y10" s="79" t="str">
        <f t="shared" si="2"/>
        <v>Categoría II</v>
      </c>
      <c r="Z10" s="79" t="str">
        <f t="shared" si="0"/>
        <v>CRUCH-ESTATALCategoría II</v>
      </c>
    </row>
    <row r="11" spans="1:26" x14ac:dyDescent="0.25">
      <c r="A11" s="1" t="s">
        <v>14</v>
      </c>
      <c r="B11" s="1" t="s">
        <v>4</v>
      </c>
      <c r="C11" s="2" t="s">
        <v>22</v>
      </c>
      <c r="D11" s="252">
        <v>0</v>
      </c>
      <c r="E11" s="252">
        <v>0</v>
      </c>
      <c r="F11" s="252">
        <v>1</v>
      </c>
      <c r="G11" s="252">
        <v>1</v>
      </c>
      <c r="H11" s="252">
        <v>0</v>
      </c>
      <c r="I11" s="252">
        <v>0</v>
      </c>
      <c r="J11" s="253">
        <v>2</v>
      </c>
      <c r="K11" s="252">
        <v>0</v>
      </c>
      <c r="L11" s="252">
        <v>1</v>
      </c>
      <c r="M11" s="252">
        <v>4</v>
      </c>
      <c r="N11" s="252">
        <v>0</v>
      </c>
      <c r="O11" s="252">
        <v>0</v>
      </c>
      <c r="P11" s="252">
        <v>3</v>
      </c>
      <c r="Q11" s="252">
        <v>0</v>
      </c>
      <c r="R11" s="252">
        <v>0</v>
      </c>
      <c r="S11" s="252">
        <v>0</v>
      </c>
      <c r="T11" s="254">
        <v>8</v>
      </c>
      <c r="U11" s="255">
        <v>10</v>
      </c>
      <c r="V11" s="255">
        <f t="shared" si="3"/>
        <v>2</v>
      </c>
      <c r="W11" s="255">
        <f t="shared" si="1"/>
        <v>10</v>
      </c>
      <c r="X11" s="304">
        <f>+VLOOKUP(B11,Publicaciones!$B$3:$C$20,2,0)</f>
        <v>605</v>
      </c>
      <c r="Y11" s="79" t="str">
        <f t="shared" si="2"/>
        <v>Categoría I</v>
      </c>
      <c r="Z11" s="79" t="str">
        <f t="shared" si="0"/>
        <v>CRUCH-ESTATALCategoría I</v>
      </c>
    </row>
    <row r="12" spans="1:26" x14ac:dyDescent="0.25">
      <c r="A12" s="1" t="s">
        <v>18</v>
      </c>
      <c r="B12" s="1" t="s">
        <v>8</v>
      </c>
      <c r="C12" s="2" t="s">
        <v>22</v>
      </c>
      <c r="D12" s="252">
        <v>1</v>
      </c>
      <c r="E12" s="252">
        <v>1</v>
      </c>
      <c r="F12" s="252">
        <v>0</v>
      </c>
      <c r="G12" s="252">
        <v>0</v>
      </c>
      <c r="H12" s="252">
        <v>0</v>
      </c>
      <c r="I12" s="252">
        <v>0</v>
      </c>
      <c r="J12" s="253">
        <v>2</v>
      </c>
      <c r="K12" s="252">
        <v>0</v>
      </c>
      <c r="L12" s="252">
        <v>2</v>
      </c>
      <c r="M12" s="252">
        <v>0</v>
      </c>
      <c r="N12" s="252">
        <v>1</v>
      </c>
      <c r="O12" s="252">
        <v>2</v>
      </c>
      <c r="P12" s="252">
        <v>0</v>
      </c>
      <c r="Q12" s="252">
        <v>0</v>
      </c>
      <c r="R12" s="252">
        <v>0</v>
      </c>
      <c r="S12" s="252">
        <v>0</v>
      </c>
      <c r="T12" s="254">
        <v>5</v>
      </c>
      <c r="U12" s="255">
        <v>7</v>
      </c>
      <c r="V12" s="255">
        <f t="shared" si="3"/>
        <v>0</v>
      </c>
      <c r="W12" s="255">
        <f t="shared" si="1"/>
        <v>5</v>
      </c>
      <c r="X12" s="304">
        <f>+VLOOKUP(B12,Publicaciones!$B$3:$C$20,2,0)</f>
        <v>400</v>
      </c>
      <c r="Y12" s="79" t="str">
        <f t="shared" si="2"/>
        <v>Categoría II</v>
      </c>
      <c r="Z12" s="79" t="str">
        <f t="shared" si="0"/>
        <v>CRUCH-ESTATALCategoría II</v>
      </c>
    </row>
    <row r="13" spans="1:26" x14ac:dyDescent="0.25">
      <c r="A13" s="1" t="s">
        <v>17</v>
      </c>
      <c r="B13" s="1" t="s">
        <v>7</v>
      </c>
      <c r="C13" s="2" t="s">
        <v>22</v>
      </c>
      <c r="D13" s="252">
        <v>0</v>
      </c>
      <c r="E13" s="252">
        <v>0</v>
      </c>
      <c r="F13" s="252">
        <v>0</v>
      </c>
      <c r="G13" s="252">
        <v>1</v>
      </c>
      <c r="H13" s="252">
        <v>0</v>
      </c>
      <c r="I13" s="252">
        <v>0</v>
      </c>
      <c r="J13" s="253">
        <v>1</v>
      </c>
      <c r="K13" s="252">
        <v>0</v>
      </c>
      <c r="L13" s="252">
        <v>1</v>
      </c>
      <c r="M13" s="252">
        <v>1</v>
      </c>
      <c r="N13" s="252">
        <v>1</v>
      </c>
      <c r="O13" s="252">
        <v>1</v>
      </c>
      <c r="P13" s="252">
        <v>0</v>
      </c>
      <c r="Q13" s="252">
        <v>0</v>
      </c>
      <c r="R13" s="252">
        <v>0</v>
      </c>
      <c r="S13" s="252">
        <v>0</v>
      </c>
      <c r="T13" s="254">
        <v>4</v>
      </c>
      <c r="U13" s="255">
        <v>5</v>
      </c>
      <c r="V13" s="255">
        <f t="shared" si="3"/>
        <v>1</v>
      </c>
      <c r="W13" s="255">
        <f t="shared" si="1"/>
        <v>5</v>
      </c>
      <c r="X13" s="304">
        <f>+VLOOKUP(B13,Publicaciones!$B$3:$C$20,2,0)</f>
        <v>341</v>
      </c>
      <c r="Y13" s="79" t="str">
        <f t="shared" si="2"/>
        <v>Categoría II</v>
      </c>
      <c r="Z13" s="79" t="str">
        <f t="shared" si="0"/>
        <v>CRUCH-ESTATALCategoría II</v>
      </c>
    </row>
    <row r="14" spans="1:26" x14ac:dyDescent="0.25">
      <c r="A14" s="1" t="s">
        <v>34</v>
      </c>
      <c r="B14" s="1" t="s">
        <v>27</v>
      </c>
      <c r="C14" s="2" t="s">
        <v>22</v>
      </c>
      <c r="D14" s="252">
        <v>0</v>
      </c>
      <c r="E14" s="252">
        <v>0</v>
      </c>
      <c r="F14" s="252">
        <v>0</v>
      </c>
      <c r="G14" s="252">
        <v>0</v>
      </c>
      <c r="H14" s="252">
        <v>0</v>
      </c>
      <c r="I14" s="252">
        <v>0</v>
      </c>
      <c r="J14" s="253">
        <v>0</v>
      </c>
      <c r="K14" s="252">
        <v>0</v>
      </c>
      <c r="L14" s="252">
        <v>0</v>
      </c>
      <c r="M14" s="252">
        <v>2</v>
      </c>
      <c r="N14" s="252">
        <v>0</v>
      </c>
      <c r="O14" s="252">
        <v>0</v>
      </c>
      <c r="P14" s="252">
        <v>0</v>
      </c>
      <c r="Q14" s="252">
        <v>0</v>
      </c>
      <c r="R14" s="252">
        <v>0</v>
      </c>
      <c r="S14" s="252">
        <v>0</v>
      </c>
      <c r="T14" s="254">
        <v>2</v>
      </c>
      <c r="U14" s="255">
        <v>2</v>
      </c>
      <c r="V14" s="255">
        <f t="shared" si="3"/>
        <v>0</v>
      </c>
      <c r="W14" s="255">
        <f t="shared" si="1"/>
        <v>2</v>
      </c>
      <c r="X14" s="304">
        <f>+VLOOKUP(B14,Publicaciones!$B$3:$C$20,2,0)</f>
        <v>151</v>
      </c>
      <c r="Y14" s="79" t="str">
        <f t="shared" si="2"/>
        <v>Categoría II</v>
      </c>
      <c r="Z14" s="79" t="str">
        <f t="shared" si="0"/>
        <v>CRUCH-ESTATALCategoría II</v>
      </c>
    </row>
    <row r="15" spans="1:26" x14ac:dyDescent="0.25">
      <c r="A15" s="1" t="s">
        <v>30</v>
      </c>
      <c r="B15" s="1" t="s">
        <v>23</v>
      </c>
      <c r="C15" s="2" t="s">
        <v>22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3">
        <v>0</v>
      </c>
      <c r="K15" s="252">
        <v>0</v>
      </c>
      <c r="L15" s="252">
        <v>1</v>
      </c>
      <c r="M15" s="252">
        <v>0</v>
      </c>
      <c r="N15" s="252">
        <v>0</v>
      </c>
      <c r="O15" s="252">
        <v>0</v>
      </c>
      <c r="P15" s="252">
        <v>0</v>
      </c>
      <c r="Q15" s="252">
        <v>0</v>
      </c>
      <c r="R15" s="252">
        <v>0</v>
      </c>
      <c r="S15" s="252">
        <v>0</v>
      </c>
      <c r="T15" s="254">
        <v>1</v>
      </c>
      <c r="U15" s="255">
        <v>1</v>
      </c>
      <c r="V15" s="255">
        <f t="shared" si="3"/>
        <v>0</v>
      </c>
      <c r="W15" s="255">
        <f t="shared" si="1"/>
        <v>1</v>
      </c>
      <c r="X15" s="304">
        <f>+VLOOKUP(B15,Publicaciones!$B$3:$C$20,2,0)</f>
        <v>150</v>
      </c>
      <c r="Y15" s="79" t="str">
        <f t="shared" si="2"/>
        <v>Categoría II</v>
      </c>
      <c r="Z15" s="79" t="str">
        <f t="shared" si="0"/>
        <v>CRUCH-ESTATALCategoría II</v>
      </c>
    </row>
    <row r="16" spans="1:26" x14ac:dyDescent="0.25">
      <c r="A16" s="1" t="s">
        <v>31</v>
      </c>
      <c r="B16" s="1" t="s">
        <v>24</v>
      </c>
      <c r="C16" s="2" t="s">
        <v>22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252">
        <v>0</v>
      </c>
      <c r="J16" s="253">
        <v>0</v>
      </c>
      <c r="K16" s="252">
        <v>0</v>
      </c>
      <c r="L16" s="252">
        <v>1</v>
      </c>
      <c r="M16" s="252">
        <v>0</v>
      </c>
      <c r="N16" s="252">
        <v>0</v>
      </c>
      <c r="O16" s="252">
        <v>0</v>
      </c>
      <c r="P16" s="252">
        <v>0</v>
      </c>
      <c r="Q16" s="252">
        <v>0</v>
      </c>
      <c r="R16" s="252">
        <v>0</v>
      </c>
      <c r="S16" s="252">
        <v>0</v>
      </c>
      <c r="T16" s="254">
        <v>1</v>
      </c>
      <c r="U16" s="255">
        <v>1</v>
      </c>
      <c r="V16" s="255">
        <f t="shared" si="3"/>
        <v>0</v>
      </c>
      <c r="W16" s="255">
        <f t="shared" si="1"/>
        <v>1</v>
      </c>
      <c r="X16" s="304">
        <f>+VLOOKUP(B16,Publicaciones!$B$3:$C$20,2,0)</f>
        <v>213</v>
      </c>
      <c r="Y16" s="79" t="str">
        <f t="shared" si="2"/>
        <v>Categoría II</v>
      </c>
      <c r="Z16" s="79" t="str">
        <f t="shared" si="0"/>
        <v>CRUCH-ESTATALCategoría II</v>
      </c>
    </row>
    <row r="17" spans="1:26" x14ac:dyDescent="0.25">
      <c r="A17" s="1" t="s">
        <v>32</v>
      </c>
      <c r="B17" s="1" t="s">
        <v>25</v>
      </c>
      <c r="C17" s="2" t="s">
        <v>22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3">
        <v>0</v>
      </c>
      <c r="K17" s="252">
        <v>0</v>
      </c>
      <c r="L17" s="252">
        <v>1</v>
      </c>
      <c r="M17" s="252">
        <v>0</v>
      </c>
      <c r="N17" s="252">
        <v>2</v>
      </c>
      <c r="O17" s="252">
        <v>0</v>
      </c>
      <c r="P17" s="252">
        <v>0</v>
      </c>
      <c r="Q17" s="252">
        <v>0</v>
      </c>
      <c r="R17" s="252">
        <v>0</v>
      </c>
      <c r="S17" s="252">
        <v>0</v>
      </c>
      <c r="T17" s="254">
        <v>3</v>
      </c>
      <c r="U17" s="255">
        <v>3</v>
      </c>
      <c r="V17" s="255">
        <f t="shared" si="3"/>
        <v>0</v>
      </c>
      <c r="W17" s="255">
        <f t="shared" si="1"/>
        <v>3</v>
      </c>
      <c r="X17" s="304">
        <f>+VLOOKUP(B17,Publicaciones!$B$3:$C$20,2,0)</f>
        <v>227</v>
      </c>
      <c r="Y17" s="79" t="str">
        <f t="shared" si="2"/>
        <v>Categoría II</v>
      </c>
      <c r="Z17" s="79" t="str">
        <f t="shared" si="0"/>
        <v>CRUCH-ESTATALCategoría II</v>
      </c>
    </row>
    <row r="18" spans="1:26" x14ac:dyDescent="0.25">
      <c r="A18" s="1" t="s">
        <v>33</v>
      </c>
      <c r="B18" s="1" t="s">
        <v>26</v>
      </c>
      <c r="C18" s="2" t="s">
        <v>22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3">
        <v>0</v>
      </c>
      <c r="K18" s="252">
        <v>0</v>
      </c>
      <c r="L18" s="252">
        <v>1</v>
      </c>
      <c r="M18" s="252">
        <v>1</v>
      </c>
      <c r="N18" s="252">
        <v>0</v>
      </c>
      <c r="O18" s="252">
        <v>0</v>
      </c>
      <c r="P18" s="252">
        <v>0</v>
      </c>
      <c r="Q18" s="252">
        <v>0</v>
      </c>
      <c r="R18" s="252">
        <v>0</v>
      </c>
      <c r="S18" s="252">
        <v>0</v>
      </c>
      <c r="T18" s="254">
        <v>2</v>
      </c>
      <c r="U18" s="255">
        <v>2</v>
      </c>
      <c r="V18" s="255">
        <f t="shared" si="3"/>
        <v>0</v>
      </c>
      <c r="W18" s="255">
        <f t="shared" si="1"/>
        <v>2</v>
      </c>
      <c r="X18" s="304">
        <f>+VLOOKUP(B18,Publicaciones!$B$3:$C$20,2,0)</f>
        <v>177</v>
      </c>
      <c r="Y18" s="79" t="str">
        <f t="shared" si="2"/>
        <v>Categoría II</v>
      </c>
      <c r="Z18" s="79" t="str">
        <f t="shared" si="0"/>
        <v>CRUCH-ESTATALCategoría II</v>
      </c>
    </row>
    <row r="19" spans="1:26" x14ac:dyDescent="0.25">
      <c r="A19" s="1" t="s">
        <v>35</v>
      </c>
      <c r="B19" s="1" t="s">
        <v>28</v>
      </c>
      <c r="C19" s="2" t="s">
        <v>22</v>
      </c>
      <c r="D19" s="252">
        <v>0</v>
      </c>
      <c r="E19" s="252">
        <v>0</v>
      </c>
      <c r="F19" s="252">
        <v>0</v>
      </c>
      <c r="G19" s="252">
        <v>0</v>
      </c>
      <c r="H19" s="252">
        <v>0</v>
      </c>
      <c r="I19" s="252">
        <v>0</v>
      </c>
      <c r="J19" s="253">
        <v>0</v>
      </c>
      <c r="K19" s="252">
        <v>0</v>
      </c>
      <c r="L19" s="252">
        <v>0</v>
      </c>
      <c r="M19" s="252">
        <v>1</v>
      </c>
      <c r="N19" s="252">
        <v>0</v>
      </c>
      <c r="O19" s="252">
        <v>0</v>
      </c>
      <c r="P19" s="252">
        <v>0</v>
      </c>
      <c r="Q19" s="252">
        <v>0</v>
      </c>
      <c r="R19" s="252">
        <v>0</v>
      </c>
      <c r="S19" s="252">
        <v>0</v>
      </c>
      <c r="T19" s="254">
        <v>1</v>
      </c>
      <c r="U19" s="255">
        <v>1</v>
      </c>
      <c r="V19" s="255">
        <f t="shared" si="3"/>
        <v>0</v>
      </c>
      <c r="W19" s="255">
        <f t="shared" si="1"/>
        <v>1</v>
      </c>
      <c r="X19" s="304">
        <f>+VLOOKUP(B19,Publicaciones!$B$3:$C$20,2,0)</f>
        <v>98</v>
      </c>
      <c r="Y19" s="79" t="str">
        <f t="shared" si="2"/>
        <v>Categoría III</v>
      </c>
      <c r="Z19" s="79" t="str">
        <f t="shared" si="0"/>
        <v>CRUCH-ESTATALCategoría III</v>
      </c>
    </row>
    <row r="20" spans="1:26" x14ac:dyDescent="0.25">
      <c r="A20" s="1" t="s">
        <v>36</v>
      </c>
      <c r="B20" s="1" t="s">
        <v>29</v>
      </c>
      <c r="C20" s="2" t="s">
        <v>22</v>
      </c>
      <c r="D20" s="252">
        <v>0</v>
      </c>
      <c r="E20" s="252">
        <v>0</v>
      </c>
      <c r="F20" s="252">
        <v>0</v>
      </c>
      <c r="G20" s="252">
        <v>0</v>
      </c>
      <c r="H20" s="252">
        <v>0</v>
      </c>
      <c r="I20" s="252">
        <v>0</v>
      </c>
      <c r="J20" s="253">
        <v>0</v>
      </c>
      <c r="K20" s="252">
        <v>1</v>
      </c>
      <c r="L20" s="252">
        <v>1</v>
      </c>
      <c r="M20" s="252">
        <v>0</v>
      </c>
      <c r="N20" s="252">
        <v>0</v>
      </c>
      <c r="O20" s="252">
        <v>0</v>
      </c>
      <c r="P20" s="252">
        <v>0</v>
      </c>
      <c r="Q20" s="252">
        <v>0</v>
      </c>
      <c r="R20" s="252">
        <v>0</v>
      </c>
      <c r="S20" s="252">
        <v>0</v>
      </c>
      <c r="T20" s="254">
        <v>2</v>
      </c>
      <c r="U20" s="255">
        <v>2</v>
      </c>
      <c r="V20" s="255">
        <f t="shared" si="3"/>
        <v>0</v>
      </c>
      <c r="W20" s="255">
        <f t="shared" si="1"/>
        <v>2</v>
      </c>
      <c r="X20" s="304">
        <f>+VLOOKUP(B20,Publicaciones!$B$3:$C$20,2,0)</f>
        <v>230</v>
      </c>
      <c r="Y20" s="79" t="str">
        <f t="shared" si="2"/>
        <v>Categoría II</v>
      </c>
      <c r="Z20" s="79" t="str">
        <f t="shared" si="0"/>
        <v>CRUCH-ESTATALCategoría II</v>
      </c>
    </row>
    <row r="21" spans="1:26" x14ac:dyDescent="0.25">
      <c r="A21" s="1" t="s">
        <v>88</v>
      </c>
      <c r="B21" s="1" t="s">
        <v>89</v>
      </c>
      <c r="C21" s="2" t="s">
        <v>22</v>
      </c>
      <c r="D21" s="252">
        <v>0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3">
        <v>0</v>
      </c>
      <c r="K21" s="252">
        <v>0</v>
      </c>
      <c r="L21" s="252">
        <v>0</v>
      </c>
      <c r="M21" s="252">
        <v>0</v>
      </c>
      <c r="N21" s="252">
        <v>0</v>
      </c>
      <c r="O21" s="252">
        <v>0</v>
      </c>
      <c r="P21" s="252">
        <v>0</v>
      </c>
      <c r="Q21" s="252">
        <v>0</v>
      </c>
      <c r="R21" s="252">
        <v>0</v>
      </c>
      <c r="S21" s="252">
        <v>0</v>
      </c>
      <c r="T21" s="254">
        <v>0</v>
      </c>
      <c r="U21" s="255">
        <v>0</v>
      </c>
      <c r="V21" s="255">
        <f t="shared" si="3"/>
        <v>0</v>
      </c>
      <c r="W21" s="255">
        <f t="shared" ref="W21:W22" si="4">T21+V21</f>
        <v>0</v>
      </c>
      <c r="X21" s="304">
        <f>+VLOOKUP(B21,Publicaciones!$B$3:$C$20,2,0)</f>
        <v>210</v>
      </c>
      <c r="Y21" s="79" t="str">
        <f t="shared" si="2"/>
        <v>Categoría III</v>
      </c>
      <c r="Z21" s="79" t="str">
        <f t="shared" si="0"/>
        <v>CRUCH-ESTATALCategoría III</v>
      </c>
    </row>
    <row r="22" spans="1:26" x14ac:dyDescent="0.25">
      <c r="A22" s="1" t="s">
        <v>90</v>
      </c>
      <c r="B22" s="1" t="s">
        <v>91</v>
      </c>
      <c r="C22" s="2" t="s">
        <v>22</v>
      </c>
      <c r="D22" s="252">
        <v>0</v>
      </c>
      <c r="E22" s="252">
        <v>0</v>
      </c>
      <c r="F22" s="252">
        <v>0</v>
      </c>
      <c r="G22" s="252">
        <v>0</v>
      </c>
      <c r="H22" s="252">
        <v>0</v>
      </c>
      <c r="I22" s="252">
        <v>0</v>
      </c>
      <c r="J22" s="253">
        <v>0</v>
      </c>
      <c r="K22" s="252">
        <v>0</v>
      </c>
      <c r="L22" s="252">
        <v>0</v>
      </c>
      <c r="M22" s="252">
        <v>0</v>
      </c>
      <c r="N22" s="252">
        <v>0</v>
      </c>
      <c r="O22" s="252">
        <v>0</v>
      </c>
      <c r="P22" s="252">
        <v>0</v>
      </c>
      <c r="Q22" s="252">
        <v>0</v>
      </c>
      <c r="R22" s="252">
        <v>0</v>
      </c>
      <c r="S22" s="252">
        <v>0</v>
      </c>
      <c r="T22" s="254">
        <v>0</v>
      </c>
      <c r="U22" s="255">
        <v>0</v>
      </c>
      <c r="V22" s="255">
        <f t="shared" si="3"/>
        <v>0</v>
      </c>
      <c r="W22" s="255">
        <f t="shared" si="4"/>
        <v>0</v>
      </c>
      <c r="X22" s="304">
        <f>+VLOOKUP(B22,Publicaciones!$B$3:$C$20,2,0)</f>
        <v>28</v>
      </c>
      <c r="Y22" s="79" t="str">
        <f t="shared" si="2"/>
        <v>Categoría III</v>
      </c>
      <c r="Z22" s="79" t="str">
        <f t="shared" si="0"/>
        <v>CRUCH-ESTATALCategoría III</v>
      </c>
    </row>
    <row r="23" spans="1:26" x14ac:dyDescent="0.25">
      <c r="A23" s="1"/>
      <c r="B23" s="1"/>
      <c r="C23" s="2" t="s">
        <v>0</v>
      </c>
      <c r="D23" s="253">
        <v>3</v>
      </c>
      <c r="E23" s="253">
        <v>2</v>
      </c>
      <c r="F23" s="253">
        <v>4</v>
      </c>
      <c r="G23" s="253">
        <v>2</v>
      </c>
      <c r="H23" s="253">
        <v>3</v>
      </c>
      <c r="I23" s="253">
        <v>0</v>
      </c>
      <c r="J23" s="253">
        <v>14</v>
      </c>
      <c r="K23" s="254">
        <v>2</v>
      </c>
      <c r="L23" s="254">
        <v>24</v>
      </c>
      <c r="M23" s="254">
        <v>16</v>
      </c>
      <c r="N23" s="254">
        <v>26</v>
      </c>
      <c r="O23" s="254">
        <v>14</v>
      </c>
      <c r="P23" s="254">
        <v>17</v>
      </c>
      <c r="Q23" s="254">
        <v>8</v>
      </c>
      <c r="R23" s="254">
        <v>2</v>
      </c>
      <c r="S23" s="254">
        <v>1</v>
      </c>
      <c r="T23" s="254">
        <v>110</v>
      </c>
      <c r="U23" s="255">
        <v>124</v>
      </c>
      <c r="V23" s="255">
        <f t="shared" ref="V23:W23" si="5">SUM(V5:V22)</f>
        <v>9</v>
      </c>
      <c r="W23" s="255">
        <f t="shared" si="5"/>
        <v>119</v>
      </c>
      <c r="X23" s="304">
        <f>SUM(X5:X22)</f>
        <v>9690</v>
      </c>
      <c r="Y23" s="1"/>
    </row>
    <row r="26" spans="1:26" x14ac:dyDescent="0.25">
      <c r="A26" s="7" t="s">
        <v>39</v>
      </c>
      <c r="B26" s="7" t="s">
        <v>70</v>
      </c>
      <c r="C26" s="7" t="s">
        <v>68</v>
      </c>
    </row>
    <row r="27" spans="1:26" x14ac:dyDescent="0.25">
      <c r="A27" s="1" t="s">
        <v>65</v>
      </c>
      <c r="B27" s="1">
        <f>COUNTIF($Z$4:$Z$22,A27)</f>
        <v>4</v>
      </c>
      <c r="C27" s="1">
        <f>(3*$B$27)+(2*$B$28)+$B$29</f>
        <v>37</v>
      </c>
    </row>
    <row r="28" spans="1:26" x14ac:dyDescent="0.25">
      <c r="A28" s="1" t="s">
        <v>66</v>
      </c>
      <c r="B28" s="1">
        <f t="shared" ref="B28:B29" si="6">COUNTIF($Z$4:$Z$22,A28)</f>
        <v>11</v>
      </c>
      <c r="C28" s="1">
        <f>(3*$B$27)+(2*$B$28)+$B$29</f>
        <v>37</v>
      </c>
    </row>
    <row r="29" spans="1:26" x14ac:dyDescent="0.25">
      <c r="A29" s="1" t="s">
        <v>67</v>
      </c>
      <c r="B29" s="1">
        <f t="shared" si="6"/>
        <v>3</v>
      </c>
      <c r="C29" s="1">
        <f>(3*$B$27)+(2*$B$28)+$B$29</f>
        <v>37</v>
      </c>
    </row>
    <row r="30" spans="1:26" x14ac:dyDescent="0.25">
      <c r="B30" s="1">
        <f>SUM(B27:B29)</f>
        <v>18</v>
      </c>
    </row>
    <row r="31" spans="1:26" x14ac:dyDescent="0.25">
      <c r="D31" s="6"/>
    </row>
    <row r="32" spans="1:26" x14ac:dyDescent="0.25">
      <c r="A32" s="7" t="s">
        <v>71</v>
      </c>
      <c r="B32" s="7" t="s">
        <v>73</v>
      </c>
    </row>
    <row r="33" spans="1:3" x14ac:dyDescent="0.25">
      <c r="A33" s="1" t="s">
        <v>72</v>
      </c>
      <c r="B33" s="6">
        <f>'Montos AIUE 2025'!J38</f>
        <v>51422700</v>
      </c>
    </row>
    <row r="34" spans="1:3" x14ac:dyDescent="0.25">
      <c r="A34" s="7" t="s">
        <v>39</v>
      </c>
      <c r="B34" s="7" t="s">
        <v>74</v>
      </c>
      <c r="C34" s="7" t="s">
        <v>86</v>
      </c>
    </row>
    <row r="35" spans="1:3" x14ac:dyDescent="0.25">
      <c r="A35" s="1" t="s">
        <v>65</v>
      </c>
      <c r="B35" s="73">
        <f>($B$33*3*B27)/C27</f>
        <v>16677632.432432432</v>
      </c>
      <c r="C35" s="5">
        <f>ROUND(B35,0)</f>
        <v>16677632</v>
      </c>
    </row>
    <row r="36" spans="1:3" x14ac:dyDescent="0.25">
      <c r="A36" s="1" t="s">
        <v>66</v>
      </c>
      <c r="B36" s="73">
        <f>($B$33*2*B28)/C28</f>
        <v>30575659.459459461</v>
      </c>
      <c r="C36" s="5">
        <f>ROUND(B36,0)</f>
        <v>30575659</v>
      </c>
    </row>
    <row r="37" spans="1:3" x14ac:dyDescent="0.25">
      <c r="A37" s="1" t="s">
        <v>67</v>
      </c>
      <c r="B37" s="73">
        <f>($B$33*1*B29)/C29</f>
        <v>4169408.1081081079</v>
      </c>
      <c r="C37" s="5">
        <f>ROUND(B37,0)</f>
        <v>4169408</v>
      </c>
    </row>
    <row r="38" spans="1:3" x14ac:dyDescent="0.25">
      <c r="B38" s="6">
        <f>SUM(B35:B37)</f>
        <v>51422700.000000007</v>
      </c>
      <c r="C38" s="6">
        <f>SUM(C35:C37)</f>
        <v>51422699</v>
      </c>
    </row>
  </sheetData>
  <mergeCells count="2">
    <mergeCell ref="K3:W3"/>
    <mergeCell ref="D3:I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E4A6-F9F4-45C6-A481-C8FF6B8B1A87}">
  <sheetPr>
    <tabColor theme="9" tint="-0.249977111117893"/>
  </sheetPr>
  <dimension ref="A1:R49"/>
  <sheetViews>
    <sheetView zoomScale="90" zoomScaleNormal="90" workbookViewId="0">
      <selection activeCell="P35" sqref="P35"/>
    </sheetView>
  </sheetViews>
  <sheetFormatPr baseColWidth="10" defaultColWidth="10.85546875" defaultRowHeight="11.25" x14ac:dyDescent="0.2"/>
  <cols>
    <col min="1" max="1" width="25" style="2" bestFit="1" customWidth="1"/>
    <col min="2" max="2" width="16.7109375" style="2" customWidth="1"/>
    <col min="3" max="3" width="10.85546875" style="2"/>
    <col min="4" max="4" width="11.85546875" style="2" bestFit="1" customWidth="1"/>
    <col min="5" max="5" width="11.85546875" style="2" customWidth="1"/>
    <col min="6" max="8" width="10.85546875" style="2"/>
    <col min="9" max="9" width="11.85546875" style="2" bestFit="1" customWidth="1"/>
    <col min="10" max="10" width="14" style="2" customWidth="1"/>
    <col min="11" max="11" width="11.85546875" style="2" bestFit="1" customWidth="1"/>
    <col min="12" max="12" width="19" style="2" customWidth="1"/>
    <col min="13" max="13" width="14.28515625" style="2" customWidth="1"/>
    <col min="14" max="14" width="18" style="2" customWidth="1"/>
    <col min="15" max="15" width="18.42578125" style="2" customWidth="1"/>
    <col min="16" max="16" width="12.7109375" style="2" customWidth="1"/>
    <col min="17" max="17" width="14.28515625" style="2" customWidth="1"/>
    <col min="18" max="18" width="10.85546875" style="259"/>
    <col min="19" max="16384" width="10.85546875" style="2"/>
  </cols>
  <sheetData>
    <row r="1" spans="1:18" s="188" customFormat="1" ht="12" thickBot="1" x14ac:dyDescent="0.25">
      <c r="B1" s="189">
        <v>1</v>
      </c>
      <c r="C1" s="189">
        <v>2</v>
      </c>
      <c r="D1" s="189">
        <v>3</v>
      </c>
      <c r="E1" s="189">
        <v>4</v>
      </c>
      <c r="F1" s="189">
        <v>5</v>
      </c>
      <c r="G1" s="189">
        <v>6</v>
      </c>
      <c r="H1" s="189">
        <v>7</v>
      </c>
      <c r="I1" s="189">
        <v>8</v>
      </c>
      <c r="J1" s="189">
        <v>9</v>
      </c>
      <c r="K1" s="189">
        <v>10</v>
      </c>
      <c r="L1" s="189">
        <v>11</v>
      </c>
      <c r="M1" s="189">
        <v>12</v>
      </c>
      <c r="N1" s="189">
        <v>13</v>
      </c>
      <c r="O1" s="189">
        <v>14</v>
      </c>
      <c r="P1" s="189">
        <v>15</v>
      </c>
      <c r="Q1" s="189">
        <v>16</v>
      </c>
      <c r="R1" s="189"/>
    </row>
    <row r="2" spans="1:18" ht="15.75" thickBot="1" x14ac:dyDescent="0.3">
      <c r="A2" s="445" t="s">
        <v>177</v>
      </c>
      <c r="B2" s="448" t="s">
        <v>196</v>
      </c>
      <c r="C2" s="463" t="s">
        <v>210</v>
      </c>
      <c r="D2" s="458" t="s">
        <v>339</v>
      </c>
      <c r="E2" s="459"/>
      <c r="F2" s="459"/>
      <c r="G2" s="459"/>
      <c r="H2" s="459"/>
      <c r="I2" s="459"/>
      <c r="J2" s="459"/>
      <c r="K2" s="459"/>
      <c r="L2" s="460"/>
      <c r="M2" s="147" t="s">
        <v>211</v>
      </c>
      <c r="N2" s="147" t="s">
        <v>275</v>
      </c>
      <c r="O2" s="453" t="s">
        <v>281</v>
      </c>
      <c r="P2" s="442" t="s">
        <v>282</v>
      </c>
      <c r="Q2" s="442" t="s">
        <v>283</v>
      </c>
    </row>
    <row r="3" spans="1:18" ht="38.25" customHeight="1" x14ac:dyDescent="0.2">
      <c r="A3" s="446"/>
      <c r="B3" s="449"/>
      <c r="C3" s="464"/>
      <c r="D3" s="456" t="s">
        <v>400</v>
      </c>
      <c r="E3" s="457"/>
      <c r="F3" s="440" t="s">
        <v>399</v>
      </c>
      <c r="G3" s="440" t="s">
        <v>309</v>
      </c>
      <c r="H3" s="440" t="s">
        <v>216</v>
      </c>
      <c r="I3" s="440" t="s">
        <v>217</v>
      </c>
      <c r="J3" s="440" t="s">
        <v>220</v>
      </c>
      <c r="K3" s="440" t="s">
        <v>310</v>
      </c>
      <c r="L3" s="461" t="s">
        <v>312</v>
      </c>
      <c r="M3" s="451" t="s">
        <v>256</v>
      </c>
      <c r="N3" s="451" t="s">
        <v>276</v>
      </c>
      <c r="O3" s="454"/>
      <c r="P3" s="443"/>
      <c r="Q3" s="443"/>
    </row>
    <row r="4" spans="1:18" ht="15" customHeight="1" thickBot="1" x14ac:dyDescent="0.25">
      <c r="A4" s="447"/>
      <c r="B4" s="450"/>
      <c r="C4" s="464"/>
      <c r="D4" s="130" t="s">
        <v>219</v>
      </c>
      <c r="E4" s="131" t="s">
        <v>311</v>
      </c>
      <c r="F4" s="441"/>
      <c r="G4" s="441"/>
      <c r="H4" s="441"/>
      <c r="I4" s="441"/>
      <c r="J4" s="441"/>
      <c r="K4" s="441"/>
      <c r="L4" s="462"/>
      <c r="M4" s="452"/>
      <c r="N4" s="452"/>
      <c r="O4" s="455"/>
      <c r="P4" s="444"/>
      <c r="Q4" s="444"/>
    </row>
    <row r="5" spans="1:18" ht="15" customHeight="1" x14ac:dyDescent="0.25">
      <c r="A5" s="129" t="s">
        <v>178</v>
      </c>
      <c r="B5" s="284" t="s">
        <v>2</v>
      </c>
      <c r="C5" s="289">
        <f>+$B$30/COUNTA($B$5:$B$22)</f>
        <v>344851.53333333338</v>
      </c>
      <c r="D5" s="287">
        <v>13152780</v>
      </c>
      <c r="E5" s="132">
        <f>+D5/$D$23</f>
        <v>0.15097667056333722</v>
      </c>
      <c r="F5" s="139">
        <v>37202</v>
      </c>
      <c r="G5" s="132">
        <f>+D5/F5</f>
        <v>353.55034675555078</v>
      </c>
      <c r="H5" s="132">
        <f t="shared" ref="H5:H22" si="0">+$G$24-G5</f>
        <v>2362.4813752988298</v>
      </c>
      <c r="I5" s="139">
        <f>+F5*H5</f>
        <v>87889032.123867065</v>
      </c>
      <c r="J5" s="132">
        <f>+I5/$I$23</f>
        <v>0.20365558866108915</v>
      </c>
      <c r="K5" s="133">
        <f>+AVERAGE(E5,J5)</f>
        <v>0.17731612961221319</v>
      </c>
      <c r="L5" s="235">
        <f>+K5*$B$31</f>
        <v>1100659.3052670683</v>
      </c>
      <c r="M5" s="143">
        <f>+VLOOKUP(B5,Pedagogía!$B$15:$V$32,21,0)</f>
        <v>0</v>
      </c>
      <c r="N5" s="143">
        <f>+VLOOKUP(B5,Género!A4:I21,9,0)</f>
        <v>159360.55437302927</v>
      </c>
      <c r="O5" s="152">
        <f>+C5+L5+M5+N5</f>
        <v>1604871.3929734309</v>
      </c>
      <c r="P5" s="154">
        <f>ROUND(O5,0)</f>
        <v>1604871</v>
      </c>
      <c r="Q5" s="155">
        <f>TRUNC(O5,0)</f>
        <v>1604871</v>
      </c>
      <c r="R5" s="259" t="str">
        <f t="shared" ref="R5:R23" si="1">+B5</f>
        <v>UCH</v>
      </c>
    </row>
    <row r="6" spans="1:18" ht="15.75" customHeight="1" x14ac:dyDescent="0.25">
      <c r="A6" s="127" t="s">
        <v>179</v>
      </c>
      <c r="B6" s="285" t="s">
        <v>3</v>
      </c>
      <c r="C6" s="289">
        <f t="shared" ref="C6:C22" si="2">+$B$30/COUNTA($B$5:$B$22)</f>
        <v>344851.53333333338</v>
      </c>
      <c r="D6" s="287">
        <v>7476975</v>
      </c>
      <c r="E6" s="122">
        <f t="shared" ref="E6:E22" si="3">+D6/$D$23</f>
        <v>8.5825870377616617E-2</v>
      </c>
      <c r="F6" s="139">
        <v>22515</v>
      </c>
      <c r="G6" s="122">
        <f t="shared" ref="G6:G22" si="4">+D6/F6</f>
        <v>332.08860759493672</v>
      </c>
      <c r="H6" s="122">
        <f t="shared" si="0"/>
        <v>2383.9431144594441</v>
      </c>
      <c r="I6" s="140">
        <f t="shared" ref="I6:I22" si="5">+F6*H6</f>
        <v>53674479.222054385</v>
      </c>
      <c r="J6" s="122">
        <f t="shared" ref="J6:J22" si="6">+I6/$I$23</f>
        <v>0.12437396792172027</v>
      </c>
      <c r="K6" s="134">
        <f t="shared" ref="K6:K22" si="7">+AVERAGE(E6,J6)</f>
        <v>0.10509991914966844</v>
      </c>
      <c r="L6" s="236">
        <f t="shared" ref="L6:L22" si="8">+K6*$B$31</f>
        <v>652389.62889550556</v>
      </c>
      <c r="M6" s="144">
        <f>+VLOOKUP(B6,Pedagogía!$B$15:$V$32,21,0)</f>
        <v>0</v>
      </c>
      <c r="N6" s="144">
        <f>+VLOOKUP(B6,Género!A5:I22,9,0)</f>
        <v>123639.19469894345</v>
      </c>
      <c r="O6" s="152">
        <f t="shared" ref="O6:O22" si="9">+C6+L6+M6+N6</f>
        <v>1120880.3569277825</v>
      </c>
      <c r="P6" s="154">
        <f t="shared" ref="P6:P22" si="10">ROUND(O6,0)</f>
        <v>1120880</v>
      </c>
      <c r="Q6" s="155">
        <f t="shared" ref="Q6:Q22" si="11">TRUNC(O6,0)</f>
        <v>1120880</v>
      </c>
      <c r="R6" s="259" t="str">
        <f t="shared" si="1"/>
        <v>USA</v>
      </c>
    </row>
    <row r="7" spans="1:18" ht="15" x14ac:dyDescent="0.25">
      <c r="A7" s="127" t="s">
        <v>181</v>
      </c>
      <c r="B7" s="285" t="s">
        <v>9</v>
      </c>
      <c r="C7" s="289">
        <f t="shared" si="2"/>
        <v>344851.53333333338</v>
      </c>
      <c r="D7" s="287">
        <v>4647840</v>
      </c>
      <c r="E7" s="122">
        <f t="shared" si="3"/>
        <v>5.3351109690202465E-2</v>
      </c>
      <c r="F7" s="139">
        <v>7043</v>
      </c>
      <c r="G7" s="122">
        <f t="shared" si="4"/>
        <v>659.9233281272185</v>
      </c>
      <c r="H7" s="122">
        <f t="shared" si="0"/>
        <v>2056.1083939271621</v>
      </c>
      <c r="I7" s="140">
        <f t="shared" si="5"/>
        <v>14481171.418429002</v>
      </c>
      <c r="J7" s="122">
        <f t="shared" si="6"/>
        <v>3.3555625980336901E-2</v>
      </c>
      <c r="K7" s="134">
        <f t="shared" si="7"/>
        <v>4.3453367835269679E-2</v>
      </c>
      <c r="L7" s="236">
        <f t="shared" si="8"/>
        <v>269729.28947682178</v>
      </c>
      <c r="M7" s="144">
        <f>+VLOOKUP(B7,Pedagogía!$B$15:$V$32,21,0)</f>
        <v>0</v>
      </c>
      <c r="N7" s="144">
        <f>+VLOOKUP(B7,Género!A6:I23,9,0)</f>
        <v>130890.01283183947</v>
      </c>
      <c r="O7" s="152">
        <f t="shared" si="9"/>
        <v>745470.83564199461</v>
      </c>
      <c r="P7" s="154">
        <f t="shared" si="10"/>
        <v>745471</v>
      </c>
      <c r="Q7" s="155">
        <f t="shared" si="11"/>
        <v>745470</v>
      </c>
      <c r="R7" s="259" t="str">
        <f t="shared" si="1"/>
        <v>ANT</v>
      </c>
    </row>
    <row r="8" spans="1:18" ht="15" x14ac:dyDescent="0.25">
      <c r="A8" s="127" t="s">
        <v>184</v>
      </c>
      <c r="B8" s="285" t="s">
        <v>6</v>
      </c>
      <c r="C8" s="289">
        <f t="shared" si="2"/>
        <v>344851.53333333338</v>
      </c>
      <c r="D8" s="287">
        <v>5672895</v>
      </c>
      <c r="E8" s="122">
        <f t="shared" si="3"/>
        <v>6.5117397200850524E-2</v>
      </c>
      <c r="F8" s="139">
        <v>11257</v>
      </c>
      <c r="G8" s="122">
        <f t="shared" si="4"/>
        <v>503.94376832193302</v>
      </c>
      <c r="H8" s="122">
        <f t="shared" si="0"/>
        <v>2212.0879537324477</v>
      </c>
      <c r="I8" s="140">
        <f t="shared" si="5"/>
        <v>24901474.095166162</v>
      </c>
      <c r="J8" s="122">
        <f t="shared" si="6"/>
        <v>5.7701447414196326E-2</v>
      </c>
      <c r="K8" s="134">
        <f t="shared" si="7"/>
        <v>6.1409422307523429E-2</v>
      </c>
      <c r="L8" s="236">
        <f t="shared" si="8"/>
        <v>381188.40198954591</v>
      </c>
      <c r="M8" s="144">
        <f>+VLOOKUP(B8,Pedagogía!$B$15:$V$32,21,0)</f>
        <v>87780.390303030319</v>
      </c>
      <c r="N8" s="144">
        <f>+VLOOKUP(B8,Género!A7:I24,9,0)</f>
        <v>134289.62683643369</v>
      </c>
      <c r="O8" s="152">
        <f t="shared" si="9"/>
        <v>948109.95246234338</v>
      </c>
      <c r="P8" s="154">
        <f t="shared" si="10"/>
        <v>948110</v>
      </c>
      <c r="Q8" s="155">
        <f t="shared" si="11"/>
        <v>948109</v>
      </c>
      <c r="R8" s="259" t="str">
        <f t="shared" si="1"/>
        <v>FRO</v>
      </c>
    </row>
    <row r="9" spans="1:18" ht="15" x14ac:dyDescent="0.25">
      <c r="A9" s="127" t="s">
        <v>186</v>
      </c>
      <c r="B9" s="285" t="s">
        <v>5</v>
      </c>
      <c r="C9" s="289">
        <f t="shared" si="2"/>
        <v>344851.53333333338</v>
      </c>
      <c r="D9" s="287">
        <v>6919728</v>
      </c>
      <c r="E9" s="122">
        <f t="shared" si="3"/>
        <v>7.9429405391400171E-2</v>
      </c>
      <c r="F9" s="139">
        <v>11055</v>
      </c>
      <c r="G9" s="122">
        <f t="shared" si="4"/>
        <v>625.93649932157393</v>
      </c>
      <c r="H9" s="122">
        <f t="shared" si="0"/>
        <v>2090.0952227328066</v>
      </c>
      <c r="I9" s="140">
        <f t="shared" si="5"/>
        <v>23106002.687311176</v>
      </c>
      <c r="J9" s="122">
        <f t="shared" si="6"/>
        <v>5.3540998975356781E-2</v>
      </c>
      <c r="K9" s="134">
        <f t="shared" si="7"/>
        <v>6.6485202183378472E-2</v>
      </c>
      <c r="L9" s="236">
        <f t="shared" si="8"/>
        <v>412695.43050446548</v>
      </c>
      <c r="M9" s="144">
        <f>+VLOOKUP(B9,Pedagogía!$B$15:$V$32,21,0)</f>
        <v>0</v>
      </c>
      <c r="N9" s="144">
        <f>+VLOOKUP(B9,Género!A8:I25,9,0)</f>
        <v>106214.55257978047</v>
      </c>
      <c r="O9" s="152">
        <f t="shared" si="9"/>
        <v>863761.51641757938</v>
      </c>
      <c r="P9" s="154">
        <f t="shared" si="10"/>
        <v>863762</v>
      </c>
      <c r="Q9" s="155">
        <f t="shared" si="11"/>
        <v>863761</v>
      </c>
      <c r="R9" s="259" t="str">
        <f t="shared" si="1"/>
        <v>TAL</v>
      </c>
    </row>
    <row r="10" spans="1:18" ht="15" x14ac:dyDescent="0.25">
      <c r="A10" s="127" t="s">
        <v>188</v>
      </c>
      <c r="B10" s="285" t="s">
        <v>10</v>
      </c>
      <c r="C10" s="289">
        <f t="shared" si="2"/>
        <v>344851.53333333338</v>
      </c>
      <c r="D10" s="287">
        <v>5503122</v>
      </c>
      <c r="E10" s="122">
        <f t="shared" si="3"/>
        <v>6.3168625740250603E-2</v>
      </c>
      <c r="F10" s="139">
        <v>10306</v>
      </c>
      <c r="G10" s="122">
        <f t="shared" si="4"/>
        <v>533.97263729866097</v>
      </c>
      <c r="H10" s="122">
        <f t="shared" si="0"/>
        <v>2182.0590847557196</v>
      </c>
      <c r="I10" s="140">
        <f t="shared" si="5"/>
        <v>22488300.927492447</v>
      </c>
      <c r="J10" s="122">
        <f t="shared" si="6"/>
        <v>5.2109666618259262E-2</v>
      </c>
      <c r="K10" s="134">
        <f t="shared" si="7"/>
        <v>5.7639146179254933E-2</v>
      </c>
      <c r="L10" s="236">
        <f t="shared" si="8"/>
        <v>357785.06291892374</v>
      </c>
      <c r="M10" s="144">
        <f>+VLOOKUP(B10,Pedagogía!$B$15:$V$32,21,0)</f>
        <v>0</v>
      </c>
      <c r="N10" s="144">
        <f>+VLOOKUP(B10,Género!A9:I26,9,0)</f>
        <v>111155.27955635765</v>
      </c>
      <c r="O10" s="152">
        <f t="shared" si="9"/>
        <v>813791.87580861477</v>
      </c>
      <c r="P10" s="154">
        <f t="shared" si="10"/>
        <v>813792</v>
      </c>
      <c r="Q10" s="155">
        <f t="shared" si="11"/>
        <v>813791</v>
      </c>
      <c r="R10" s="259" t="str">
        <f t="shared" si="1"/>
        <v>UTA</v>
      </c>
    </row>
    <row r="11" spans="1:18" ht="15" x14ac:dyDescent="0.25">
      <c r="A11" s="127" t="s">
        <v>180</v>
      </c>
      <c r="B11" s="285" t="s">
        <v>4</v>
      </c>
      <c r="C11" s="289">
        <f t="shared" si="2"/>
        <v>344851.53333333338</v>
      </c>
      <c r="D11" s="287">
        <v>5458335</v>
      </c>
      <c r="E11" s="122">
        <f t="shared" si="3"/>
        <v>6.265452969785347E-2</v>
      </c>
      <c r="F11" s="139">
        <v>14791</v>
      </c>
      <c r="G11" s="122">
        <f t="shared" si="4"/>
        <v>369.03082955851534</v>
      </c>
      <c r="H11" s="122">
        <f t="shared" si="0"/>
        <v>2347.0008924958652</v>
      </c>
      <c r="I11" s="140">
        <f t="shared" si="5"/>
        <v>34714490.200906344</v>
      </c>
      <c r="J11" s="122">
        <f t="shared" si="6"/>
        <v>8.0440070462618335E-2</v>
      </c>
      <c r="K11" s="134">
        <f t="shared" si="7"/>
        <v>7.1547300080235909E-2</v>
      </c>
      <c r="L11" s="236">
        <f t="shared" si="8"/>
        <v>444117.53049353062</v>
      </c>
      <c r="M11" s="144">
        <f>+VLOOKUP(B11,Pedagogía!$B$15:$V$32,21,0)</f>
        <v>0</v>
      </c>
      <c r="N11" s="144">
        <f>+VLOOKUP(B11,Género!A10:I27,9,0)</f>
        <v>158309.7227014266</v>
      </c>
      <c r="O11" s="152">
        <f t="shared" si="9"/>
        <v>947278.7865282906</v>
      </c>
      <c r="P11" s="154">
        <f t="shared" si="10"/>
        <v>947279</v>
      </c>
      <c r="Q11" s="155">
        <f t="shared" si="11"/>
        <v>947278</v>
      </c>
      <c r="R11" s="259" t="str">
        <f t="shared" si="1"/>
        <v>UVA</v>
      </c>
    </row>
    <row r="12" spans="1:18" ht="15" x14ac:dyDescent="0.25">
      <c r="A12" s="127" t="s">
        <v>183</v>
      </c>
      <c r="B12" s="285" t="s">
        <v>8</v>
      </c>
      <c r="C12" s="289">
        <f t="shared" si="2"/>
        <v>344851.53333333338</v>
      </c>
      <c r="D12" s="287">
        <v>4931089</v>
      </c>
      <c r="E12" s="122">
        <f t="shared" si="3"/>
        <v>5.6602436859089555E-2</v>
      </c>
      <c r="F12" s="139">
        <v>10998</v>
      </c>
      <c r="G12" s="122">
        <f t="shared" si="4"/>
        <v>448.36233860701947</v>
      </c>
      <c r="H12" s="122">
        <f t="shared" si="0"/>
        <v>2267.6693834473613</v>
      </c>
      <c r="I12" s="140">
        <f t="shared" si="5"/>
        <v>24939827.879154079</v>
      </c>
      <c r="J12" s="122">
        <f t="shared" si="6"/>
        <v>5.7790320419925087E-2</v>
      </c>
      <c r="K12" s="134">
        <f t="shared" si="7"/>
        <v>5.7196378639507321E-2</v>
      </c>
      <c r="L12" s="236">
        <f t="shared" si="8"/>
        <v>355036.6597490643</v>
      </c>
      <c r="M12" s="144">
        <f>+VLOOKUP(B12,Pedagogía!$B$15:$V$32,21,0)</f>
        <v>89347.897272727292</v>
      </c>
      <c r="N12" s="144">
        <f>+VLOOKUP(B12,Género!A11:I28,9,0)</f>
        <v>108571.5786226085</v>
      </c>
      <c r="O12" s="152">
        <f t="shared" si="9"/>
        <v>897807.66897773347</v>
      </c>
      <c r="P12" s="154">
        <f t="shared" si="10"/>
        <v>897808</v>
      </c>
      <c r="Q12" s="155">
        <f t="shared" si="11"/>
        <v>897807</v>
      </c>
      <c r="R12" s="259" t="str">
        <f t="shared" si="1"/>
        <v>UBB</v>
      </c>
    </row>
    <row r="13" spans="1:18" ht="15" x14ac:dyDescent="0.25">
      <c r="A13" s="127" t="s">
        <v>182</v>
      </c>
      <c r="B13" s="285" t="s">
        <v>7</v>
      </c>
      <c r="C13" s="289">
        <f t="shared" si="2"/>
        <v>344851.53333333338</v>
      </c>
      <c r="D13" s="287">
        <v>3950948</v>
      </c>
      <c r="E13" s="122">
        <f t="shared" si="3"/>
        <v>4.5351703184336394E-2</v>
      </c>
      <c r="F13" s="139">
        <v>7465</v>
      </c>
      <c r="G13" s="122">
        <f t="shared" si="4"/>
        <v>529.26296048225049</v>
      </c>
      <c r="H13" s="122">
        <f t="shared" si="0"/>
        <v>2186.7687615721302</v>
      </c>
      <c r="I13" s="140">
        <f t="shared" si="5"/>
        <v>16324228.805135952</v>
      </c>
      <c r="J13" s="122">
        <f t="shared" si="6"/>
        <v>3.7826340174765292E-2</v>
      </c>
      <c r="K13" s="134">
        <f t="shared" si="7"/>
        <v>4.1589021679550843E-2</v>
      </c>
      <c r="L13" s="236">
        <f t="shared" si="8"/>
        <v>258156.68212847432</v>
      </c>
      <c r="M13" s="144">
        <f>+VLOOKUP(B13,Pedagogía!$B$15:$V$32,21,0)</f>
        <v>89347.897272727292</v>
      </c>
      <c r="N13" s="144">
        <f>+VLOOKUP(B13,Género!A12:I29,9,0)</f>
        <v>121685.94935957597</v>
      </c>
      <c r="O13" s="152">
        <f t="shared" si="9"/>
        <v>814042.062094111</v>
      </c>
      <c r="P13" s="154">
        <f t="shared" si="10"/>
        <v>814042</v>
      </c>
      <c r="Q13" s="155">
        <f t="shared" si="11"/>
        <v>814042</v>
      </c>
      <c r="R13" s="259" t="str">
        <f t="shared" si="1"/>
        <v>ULS</v>
      </c>
    </row>
    <row r="14" spans="1:18" ht="15" x14ac:dyDescent="0.25">
      <c r="A14" s="127" t="s">
        <v>191</v>
      </c>
      <c r="B14" s="285" t="s">
        <v>27</v>
      </c>
      <c r="C14" s="289">
        <f t="shared" si="2"/>
        <v>344851.53333333338</v>
      </c>
      <c r="D14" s="287">
        <v>3676354</v>
      </c>
      <c r="E14" s="122">
        <f t="shared" si="3"/>
        <v>4.2199724068387595E-2</v>
      </c>
      <c r="F14" s="139">
        <v>6568</v>
      </c>
      <c r="G14" s="122">
        <f t="shared" si="4"/>
        <v>559.73721071863577</v>
      </c>
      <c r="H14" s="122">
        <f t="shared" si="0"/>
        <v>2156.294511335745</v>
      </c>
      <c r="I14" s="140">
        <f t="shared" si="5"/>
        <v>14162542.350453174</v>
      </c>
      <c r="J14" s="122">
        <f t="shared" si="6"/>
        <v>3.2817301881924964E-2</v>
      </c>
      <c r="K14" s="134">
        <f t="shared" si="7"/>
        <v>3.7508512975156283E-2</v>
      </c>
      <c r="L14" s="236">
        <f t="shared" si="8"/>
        <v>232827.62782564573</v>
      </c>
      <c r="M14" s="144">
        <f>+VLOOKUP(B14,Pedagogía!$B$15:$V$32,21,0)</f>
        <v>98752.939090909087</v>
      </c>
      <c r="N14" s="144">
        <f>+VLOOKUP(B14,Género!A13:I30,9,0)</f>
        <v>137989.1821052384</v>
      </c>
      <c r="O14" s="152">
        <f t="shared" si="9"/>
        <v>814421.28235512669</v>
      </c>
      <c r="P14" s="154">
        <f t="shared" si="10"/>
        <v>814421</v>
      </c>
      <c r="Q14" s="155">
        <f t="shared" si="11"/>
        <v>814421</v>
      </c>
      <c r="R14" s="259" t="str">
        <f t="shared" si="1"/>
        <v>UPA</v>
      </c>
    </row>
    <row r="15" spans="1:18" ht="15" x14ac:dyDescent="0.25">
      <c r="A15" s="127" t="s">
        <v>189</v>
      </c>
      <c r="B15" s="285" t="s">
        <v>23</v>
      </c>
      <c r="C15" s="289">
        <f t="shared" si="2"/>
        <v>344851.53333333338</v>
      </c>
      <c r="D15" s="287">
        <v>3299179</v>
      </c>
      <c r="E15" s="122">
        <f t="shared" si="3"/>
        <v>3.7870249560357602E-2</v>
      </c>
      <c r="F15" s="139">
        <v>9514</v>
      </c>
      <c r="G15" s="122">
        <f t="shared" si="4"/>
        <v>346.77096909817112</v>
      </c>
      <c r="H15" s="122">
        <f t="shared" si="0"/>
        <v>2369.2607529562097</v>
      </c>
      <c r="I15" s="140">
        <f t="shared" si="5"/>
        <v>22541146.803625379</v>
      </c>
      <c r="J15" s="122">
        <f t="shared" si="6"/>
        <v>5.2232120555367086E-2</v>
      </c>
      <c r="K15" s="134">
        <f t="shared" si="7"/>
        <v>4.5051185057862347E-2</v>
      </c>
      <c r="L15" s="236">
        <f t="shared" si="8"/>
        <v>279647.46442237659</v>
      </c>
      <c r="M15" s="144">
        <f>+VLOOKUP(B15,Pedagogía!$B$15:$V$32,21,0)</f>
        <v>0</v>
      </c>
      <c r="N15" s="144">
        <f>+VLOOKUP(B15,Género!A14:I31,9,0)</f>
        <v>114125.71936046613</v>
      </c>
      <c r="O15" s="152">
        <f t="shared" si="9"/>
        <v>738624.71711617615</v>
      </c>
      <c r="P15" s="154">
        <f t="shared" si="10"/>
        <v>738625</v>
      </c>
      <c r="Q15" s="155">
        <f t="shared" si="11"/>
        <v>738624</v>
      </c>
      <c r="R15" s="259" t="str">
        <f t="shared" si="1"/>
        <v>UAP</v>
      </c>
    </row>
    <row r="16" spans="1:18" ht="15" x14ac:dyDescent="0.25">
      <c r="A16" s="127" t="s">
        <v>187</v>
      </c>
      <c r="B16" s="285" t="s">
        <v>24</v>
      </c>
      <c r="C16" s="289">
        <f t="shared" si="2"/>
        <v>344851.53333333338</v>
      </c>
      <c r="D16" s="287">
        <v>3837749</v>
      </c>
      <c r="E16" s="122">
        <f t="shared" si="3"/>
        <v>4.4052327072890814E-2</v>
      </c>
      <c r="F16" s="139">
        <v>7847</v>
      </c>
      <c r="G16" s="122">
        <f t="shared" si="4"/>
        <v>489.07212947623293</v>
      </c>
      <c r="H16" s="122">
        <f t="shared" si="0"/>
        <v>2226.9595925781477</v>
      </c>
      <c r="I16" s="140">
        <f t="shared" si="5"/>
        <v>17474951.922960725</v>
      </c>
      <c r="J16" s="122">
        <f t="shared" si="6"/>
        <v>4.0492784306454484E-2</v>
      </c>
      <c r="K16" s="134">
        <f t="shared" si="7"/>
        <v>4.2272555689672649E-2</v>
      </c>
      <c r="L16" s="236">
        <f t="shared" si="8"/>
        <v>262399.60165504209</v>
      </c>
      <c r="M16" s="144">
        <f>+VLOOKUP(B16,Pedagogía!$B$15:$V$32,21,0)</f>
        <v>0</v>
      </c>
      <c r="N16" s="144">
        <f>+VLOOKUP(B16,Género!A15:I32,9,0)</f>
        <v>106071.59039625022</v>
      </c>
      <c r="O16" s="152">
        <f t="shared" si="9"/>
        <v>713322.72538462572</v>
      </c>
      <c r="P16" s="154">
        <f t="shared" si="10"/>
        <v>713323</v>
      </c>
      <c r="Q16" s="155">
        <f t="shared" si="11"/>
        <v>713322</v>
      </c>
      <c r="R16" s="259" t="str">
        <f t="shared" si="1"/>
        <v>ATA</v>
      </c>
    </row>
    <row r="17" spans="1:18" ht="15" x14ac:dyDescent="0.25">
      <c r="A17" s="127" t="s">
        <v>193</v>
      </c>
      <c r="B17" s="285" t="s">
        <v>25</v>
      </c>
      <c r="C17" s="289">
        <f t="shared" si="2"/>
        <v>344851.53333333338</v>
      </c>
      <c r="D17" s="287">
        <v>4167313</v>
      </c>
      <c r="E17" s="122">
        <f t="shared" si="3"/>
        <v>4.7835289720904055E-2</v>
      </c>
      <c r="F17" s="139">
        <v>10373</v>
      </c>
      <c r="G17" s="122">
        <f t="shared" si="4"/>
        <v>401.74616793598767</v>
      </c>
      <c r="H17" s="122">
        <f t="shared" si="0"/>
        <v>2314.2855541183931</v>
      </c>
      <c r="I17" s="140">
        <f t="shared" si="5"/>
        <v>24006084.052870091</v>
      </c>
      <c r="J17" s="122">
        <f t="shared" si="6"/>
        <v>5.5626658538514027E-2</v>
      </c>
      <c r="K17" s="134">
        <f t="shared" si="7"/>
        <v>5.1730974129709041E-2</v>
      </c>
      <c r="L17" s="236">
        <f t="shared" si="8"/>
        <v>321111.10349022894</v>
      </c>
      <c r="M17" s="144">
        <f>+VLOOKUP(B17,Pedagogía!$B$15:$V$32,21,0)</f>
        <v>90915.404242424251</v>
      </c>
      <c r="N17" s="144">
        <f>+VLOOKUP(B17,Género!A16:I33,9,0)</f>
        <v>114804.07009777799</v>
      </c>
      <c r="O17" s="152">
        <f t="shared" si="9"/>
        <v>871682.11116376461</v>
      </c>
      <c r="P17" s="154">
        <f t="shared" si="10"/>
        <v>871682</v>
      </c>
      <c r="Q17" s="155">
        <f t="shared" si="11"/>
        <v>871682</v>
      </c>
      <c r="R17" s="259" t="str">
        <f t="shared" si="1"/>
        <v>ULA</v>
      </c>
    </row>
    <row r="18" spans="1:18" ht="15" x14ac:dyDescent="0.25">
      <c r="A18" s="127" t="s">
        <v>185</v>
      </c>
      <c r="B18" s="285" t="s">
        <v>26</v>
      </c>
      <c r="C18" s="289">
        <f t="shared" si="2"/>
        <v>344851.53333333338</v>
      </c>
      <c r="D18" s="287">
        <v>3405056</v>
      </c>
      <c r="E18" s="122">
        <f t="shared" si="3"/>
        <v>3.9085578711246953E-2</v>
      </c>
      <c r="F18" s="139">
        <v>4103</v>
      </c>
      <c r="G18" s="122">
        <f t="shared" si="4"/>
        <v>829.89422373872776</v>
      </c>
      <c r="H18" s="122">
        <f t="shared" si="0"/>
        <v>1886.1374983156529</v>
      </c>
      <c r="I18" s="140">
        <f t="shared" si="5"/>
        <v>7738822.1555891242</v>
      </c>
      <c r="J18" s="122">
        <f t="shared" si="6"/>
        <v>1.7932321514461076E-2</v>
      </c>
      <c r="K18" s="134">
        <f t="shared" si="7"/>
        <v>2.8508950112854016E-2</v>
      </c>
      <c r="L18" s="236">
        <f t="shared" si="8"/>
        <v>176964.39288254187</v>
      </c>
      <c r="M18" s="144">
        <f>+VLOOKUP(B18,Pedagogía!$B$15:$V$32,21,0)</f>
        <v>90915.404242424251</v>
      </c>
      <c r="N18" s="144">
        <f>+VLOOKUP(B18,Género!A17:I34,9,0)</f>
        <v>123549.32607251295</v>
      </c>
      <c r="O18" s="152">
        <f t="shared" si="9"/>
        <v>736280.65653081238</v>
      </c>
      <c r="P18" s="154">
        <f t="shared" si="10"/>
        <v>736281</v>
      </c>
      <c r="Q18" s="155">
        <f t="shared" si="11"/>
        <v>736280</v>
      </c>
      <c r="R18" s="259" t="str">
        <f t="shared" si="1"/>
        <v>MAG</v>
      </c>
    </row>
    <row r="19" spans="1:18" ht="15" x14ac:dyDescent="0.25">
      <c r="A19" s="127" t="s">
        <v>190</v>
      </c>
      <c r="B19" s="285" t="s">
        <v>28</v>
      </c>
      <c r="C19" s="289">
        <f t="shared" si="2"/>
        <v>344851.53333333338</v>
      </c>
      <c r="D19" s="287">
        <v>3332802</v>
      </c>
      <c r="E19" s="122">
        <f t="shared" si="3"/>
        <v>3.8256197519218854E-2</v>
      </c>
      <c r="F19" s="139">
        <v>3863</v>
      </c>
      <c r="G19" s="122">
        <f t="shared" si="4"/>
        <v>862.74967641729222</v>
      </c>
      <c r="H19" s="122">
        <f t="shared" si="0"/>
        <v>1853.2820456370885</v>
      </c>
      <c r="I19" s="140">
        <f t="shared" si="5"/>
        <v>7159228.5422960725</v>
      </c>
      <c r="J19" s="122">
        <f t="shared" si="6"/>
        <v>1.6589292974414725E-2</v>
      </c>
      <c r="K19" s="134">
        <f t="shared" si="7"/>
        <v>2.7422745246816788E-2</v>
      </c>
      <c r="L19" s="236">
        <f t="shared" si="8"/>
        <v>170221.96343833467</v>
      </c>
      <c r="M19" s="144">
        <f>+VLOOKUP(B19,Pedagogía!$B$15:$V$32,21,0)</f>
        <v>148913.16212121211</v>
      </c>
      <c r="N19" s="144">
        <f>+VLOOKUP(B19,Género!A18:I35,9,0)</f>
        <v>181316.12973374361</v>
      </c>
      <c r="O19" s="152">
        <f t="shared" si="9"/>
        <v>845302.78862662381</v>
      </c>
      <c r="P19" s="154">
        <f t="shared" si="10"/>
        <v>845303</v>
      </c>
      <c r="Q19" s="155">
        <f t="shared" si="11"/>
        <v>845302</v>
      </c>
      <c r="R19" s="259" t="str">
        <f t="shared" si="1"/>
        <v>UMC</v>
      </c>
    </row>
    <row r="20" spans="1:18" ht="15" x14ac:dyDescent="0.25">
      <c r="A20" s="127" t="s">
        <v>192</v>
      </c>
      <c r="B20" s="285" t="s">
        <v>29</v>
      </c>
      <c r="C20" s="289">
        <f t="shared" si="2"/>
        <v>344851.53333333338</v>
      </c>
      <c r="D20" s="287">
        <v>3535717</v>
      </c>
      <c r="E20" s="122">
        <f t="shared" si="3"/>
        <v>4.058539568929085E-2</v>
      </c>
      <c r="F20" s="139">
        <v>7935</v>
      </c>
      <c r="G20" s="122">
        <f t="shared" si="4"/>
        <v>445.5850031505986</v>
      </c>
      <c r="H20" s="122">
        <f t="shared" si="0"/>
        <v>2270.4467189037823</v>
      </c>
      <c r="I20" s="140">
        <f t="shared" si="5"/>
        <v>18015994.714501511</v>
      </c>
      <c r="J20" s="122">
        <f t="shared" si="6"/>
        <v>4.1746483266829719E-2</v>
      </c>
      <c r="K20" s="134">
        <f t="shared" si="7"/>
        <v>4.1165939478060284E-2</v>
      </c>
      <c r="L20" s="236">
        <f t="shared" si="8"/>
        <v>255530.47230209323</v>
      </c>
      <c r="M20" s="144">
        <f>+VLOOKUP(B20,Pedagogía!$B$15:$V$32,21,0)</f>
        <v>0</v>
      </c>
      <c r="N20" s="144">
        <f>+VLOOKUP(B20,Género!A19:I36,9,0)</f>
        <v>113959.91448989059</v>
      </c>
      <c r="O20" s="152">
        <f t="shared" si="9"/>
        <v>714341.92012531718</v>
      </c>
      <c r="P20" s="154">
        <f t="shared" si="10"/>
        <v>714342</v>
      </c>
      <c r="Q20" s="155">
        <f t="shared" si="11"/>
        <v>714341</v>
      </c>
      <c r="R20" s="259" t="str">
        <f t="shared" si="1"/>
        <v>UTM</v>
      </c>
    </row>
    <row r="21" spans="1:18" ht="15" x14ac:dyDescent="0.25">
      <c r="A21" s="127" t="s">
        <v>194</v>
      </c>
      <c r="B21" s="285" t="s">
        <v>89</v>
      </c>
      <c r="C21" s="289">
        <f t="shared" si="2"/>
        <v>344851.53333333338</v>
      </c>
      <c r="D21" s="287">
        <v>2352068</v>
      </c>
      <c r="E21" s="122">
        <f t="shared" si="3"/>
        <v>2.6998656981913133E-2</v>
      </c>
      <c r="F21" s="139">
        <v>7471</v>
      </c>
      <c r="G21" s="122">
        <f t="shared" si="4"/>
        <v>314.8263953955294</v>
      </c>
      <c r="H21" s="122">
        <f t="shared" si="0"/>
        <v>2401.2053266588514</v>
      </c>
      <c r="I21" s="140">
        <f t="shared" si="5"/>
        <v>17939404.995468277</v>
      </c>
      <c r="J21" s="122">
        <f t="shared" si="6"/>
        <v>4.1569010333766608E-2</v>
      </c>
      <c r="K21" s="134">
        <f t="shared" si="7"/>
        <v>3.4283833657839873E-2</v>
      </c>
      <c r="L21" s="236">
        <f t="shared" si="8"/>
        <v>212810.98689811843</v>
      </c>
      <c r="M21" s="144">
        <f>+VLOOKUP(B21,Pedagogía!$B$15:$V$32,21,0)</f>
        <v>79942.855454545454</v>
      </c>
      <c r="N21" s="144">
        <f>+VLOOKUP(B21,Género!A20:I37,9,0)</f>
        <v>145152.21449852368</v>
      </c>
      <c r="O21" s="152">
        <f t="shared" si="9"/>
        <v>782757.59018452093</v>
      </c>
      <c r="P21" s="154">
        <f t="shared" si="10"/>
        <v>782758</v>
      </c>
      <c r="Q21" s="155">
        <f t="shared" si="11"/>
        <v>782757</v>
      </c>
      <c r="R21" s="259" t="str">
        <f t="shared" si="1"/>
        <v>URO</v>
      </c>
    </row>
    <row r="22" spans="1:18" ht="15.75" thickBot="1" x14ac:dyDescent="0.3">
      <c r="A22" s="128" t="s">
        <v>195</v>
      </c>
      <c r="B22" s="286" t="s">
        <v>91</v>
      </c>
      <c r="C22" s="289">
        <f t="shared" si="2"/>
        <v>344851.53333333338</v>
      </c>
      <c r="D22" s="287">
        <v>1798013</v>
      </c>
      <c r="E22" s="135">
        <f t="shared" si="3"/>
        <v>2.063883197085313E-2</v>
      </c>
      <c r="F22" s="139">
        <v>662</v>
      </c>
      <c r="G22" s="136">
        <f t="shared" si="4"/>
        <v>2716.0317220543807</v>
      </c>
      <c r="H22" s="135">
        <f t="shared" si="0"/>
        <v>0</v>
      </c>
      <c r="I22" s="141">
        <f t="shared" si="5"/>
        <v>0</v>
      </c>
      <c r="J22" s="135">
        <f t="shared" si="6"/>
        <v>0</v>
      </c>
      <c r="K22" s="137">
        <f t="shared" si="7"/>
        <v>1.0319415985426565E-2</v>
      </c>
      <c r="L22" s="237">
        <f t="shared" si="8"/>
        <v>64055.995662219524</v>
      </c>
      <c r="M22" s="145">
        <f>+VLOOKUP(B22,Pedagogía!$B$15:$V$32,21,0)</f>
        <v>0</v>
      </c>
      <c r="N22" s="144">
        <f>+VLOOKUP(B22,Género!A21:I38,9,0)</f>
        <v>136663.23168560147</v>
      </c>
      <c r="O22" s="152">
        <f t="shared" si="9"/>
        <v>545570.76068115444</v>
      </c>
      <c r="P22" s="154">
        <f t="shared" si="10"/>
        <v>545571</v>
      </c>
      <c r="Q22" s="155">
        <f t="shared" si="11"/>
        <v>545570</v>
      </c>
      <c r="R22" s="259" t="str">
        <f t="shared" si="1"/>
        <v>URY</v>
      </c>
    </row>
    <row r="23" spans="1:18" ht="15.75" thickBot="1" x14ac:dyDescent="0.3">
      <c r="B23" s="126" t="s">
        <v>214</v>
      </c>
      <c r="C23" s="288">
        <f>SUM(C5:C22)</f>
        <v>6207327.5999999996</v>
      </c>
      <c r="D23" s="232">
        <f>SUM(D5:D22)</f>
        <v>87117963</v>
      </c>
      <c r="E23" s="67">
        <f>+D23/$D$23</f>
        <v>1</v>
      </c>
      <c r="F23" s="142">
        <f>SUM(F5:F22)</f>
        <v>190968</v>
      </c>
      <c r="G23" s="67">
        <f>SUM(G5:G22)</f>
        <v>11322.484814053214</v>
      </c>
      <c r="H23" s="233" t="s">
        <v>218</v>
      </c>
      <c r="I23" s="234">
        <f t="shared" ref="I23:N23" si="12">SUM(I5:I22)</f>
        <v>431557182.89728093</v>
      </c>
      <c r="J23" s="67">
        <f t="shared" si="12"/>
        <v>1.0000000000000002</v>
      </c>
      <c r="K23" s="138">
        <f t="shared" si="12"/>
        <v>0.99999999999999989</v>
      </c>
      <c r="L23" s="238">
        <f t="shared" si="12"/>
        <v>6207327.6000000015</v>
      </c>
      <c r="M23" s="146">
        <f t="shared" si="12"/>
        <v>775915.95000000007</v>
      </c>
      <c r="N23" s="146">
        <f t="shared" si="12"/>
        <v>2327747.85</v>
      </c>
      <c r="O23" s="174">
        <f>SUM(O5:O22)</f>
        <v>15518319.000000004</v>
      </c>
      <c r="P23" s="243">
        <f>SUM(P5:P22)</f>
        <v>15518321</v>
      </c>
      <c r="Q23" s="244">
        <f>SUM(Q5:Q22)</f>
        <v>15518308</v>
      </c>
      <c r="R23" s="259" t="str">
        <f t="shared" si="1"/>
        <v>TOTAL</v>
      </c>
    </row>
    <row r="24" spans="1:18" ht="15" x14ac:dyDescent="0.25">
      <c r="D24" s="231" t="s">
        <v>308</v>
      </c>
      <c r="F24" s="90" t="s">
        <v>215</v>
      </c>
      <c r="G24" s="89">
        <f>+MAX(G5:G22)</f>
        <v>2716.0317220543807</v>
      </c>
      <c r="H24"/>
      <c r="I24"/>
      <c r="J24"/>
      <c r="K24"/>
      <c r="O24" s="153">
        <f>+B29-O23</f>
        <v>0</v>
      </c>
      <c r="P24" s="329">
        <f>+B29-P23</f>
        <v>-2</v>
      </c>
      <c r="Q24" s="309">
        <f>+B29-Q23</f>
        <v>11</v>
      </c>
    </row>
    <row r="25" spans="1:18" ht="15" x14ac:dyDescent="0.25">
      <c r="C25"/>
      <c r="D25"/>
      <c r="E25"/>
      <c r="F25"/>
      <c r="G25"/>
      <c r="H25"/>
      <c r="I25"/>
      <c r="J25"/>
      <c r="K25"/>
    </row>
    <row r="26" spans="1:18" ht="15" x14ac:dyDescent="0.25">
      <c r="C26"/>
      <c r="D26"/>
      <c r="E26"/>
      <c r="F26"/>
      <c r="G26"/>
      <c r="I26"/>
      <c r="J26"/>
      <c r="K26"/>
    </row>
    <row r="27" spans="1:18" x14ac:dyDescent="0.2">
      <c r="H27" s="2" t="s">
        <v>328</v>
      </c>
    </row>
    <row r="29" spans="1:18" x14ac:dyDescent="0.2">
      <c r="A29" s="261" t="s">
        <v>330</v>
      </c>
      <c r="B29" s="260">
        <f>+'Montos AIUE 2025'!K38</f>
        <v>15518319</v>
      </c>
    </row>
    <row r="30" spans="1:18" x14ac:dyDescent="0.2">
      <c r="A30" s="59" t="s">
        <v>333</v>
      </c>
      <c r="B30" s="260">
        <f>+B29*0.4</f>
        <v>6207327.6000000006</v>
      </c>
    </row>
    <row r="31" spans="1:18" x14ac:dyDescent="0.2">
      <c r="A31" s="59" t="s">
        <v>334</v>
      </c>
      <c r="B31" s="260">
        <f>+B29*0.4</f>
        <v>6207327.6000000006</v>
      </c>
    </row>
    <row r="32" spans="1:18" x14ac:dyDescent="0.2">
      <c r="A32" s="59" t="s">
        <v>335</v>
      </c>
      <c r="B32" s="260">
        <f>+B29*0.05</f>
        <v>775915.95000000007</v>
      </c>
    </row>
    <row r="33" spans="1:2" x14ac:dyDescent="0.2">
      <c r="A33" s="59" t="s">
        <v>336</v>
      </c>
      <c r="B33" s="260">
        <f>+B29*0.15</f>
        <v>2327747.85</v>
      </c>
    </row>
    <row r="49" spans="12:12" x14ac:dyDescent="0.2">
      <c r="L49" s="303"/>
    </row>
  </sheetData>
  <mergeCells count="17">
    <mergeCell ref="A2:A4"/>
    <mergeCell ref="B2:B4"/>
    <mergeCell ref="M3:M4"/>
    <mergeCell ref="N3:N4"/>
    <mergeCell ref="O2:O4"/>
    <mergeCell ref="D3:E3"/>
    <mergeCell ref="D2:L2"/>
    <mergeCell ref="L3:L4"/>
    <mergeCell ref="C2:C4"/>
    <mergeCell ref="F3:F4"/>
    <mergeCell ref="G3:G4"/>
    <mergeCell ref="H3:H4"/>
    <mergeCell ref="I3:I4"/>
    <mergeCell ref="J3:J4"/>
    <mergeCell ref="K3:K4"/>
    <mergeCell ref="P2:P4"/>
    <mergeCell ref="Q2:Q4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8831-B70C-4207-A6FD-C0BDBB37324B}">
  <sheetPr>
    <tabColor theme="9" tint="0.59999389629810485"/>
  </sheetPr>
  <dimension ref="A1:AB37"/>
  <sheetViews>
    <sheetView zoomScale="90" zoomScaleNormal="90" workbookViewId="0">
      <selection activeCell="C16" sqref="C16"/>
    </sheetView>
  </sheetViews>
  <sheetFormatPr baseColWidth="10" defaultColWidth="10.85546875" defaultRowHeight="15" x14ac:dyDescent="0.25"/>
  <cols>
    <col min="1" max="1" width="19.42578125" style="84" customWidth="1"/>
    <col min="2" max="6" width="10.85546875" style="84"/>
    <col min="7" max="7" width="15.140625" style="84" customWidth="1"/>
    <col min="8" max="8" width="10.85546875" style="84"/>
    <col min="9" max="9" width="14.140625" style="84" customWidth="1"/>
    <col min="10" max="11" width="10.85546875" style="84"/>
    <col min="12" max="12" width="12.28515625" style="84" customWidth="1"/>
    <col min="13" max="14" width="10.85546875" style="84"/>
    <col min="15" max="15" width="11.85546875" style="84" customWidth="1"/>
    <col min="16" max="16" width="14.7109375" style="84" customWidth="1"/>
    <col min="17" max="18" width="10.85546875" style="84"/>
    <col min="19" max="19" width="15.140625" style="84" customWidth="1"/>
    <col min="20" max="22" width="12.140625" style="84" customWidth="1"/>
    <col min="23" max="25" width="4.85546875" style="84" customWidth="1"/>
    <col min="26" max="26" width="16.28515625" style="84" customWidth="1"/>
    <col min="27" max="27" width="16.42578125" style="84" customWidth="1"/>
    <col min="28" max="28" width="31.5703125" style="84" customWidth="1"/>
    <col min="29" max="16384" width="10.85546875" style="84"/>
  </cols>
  <sheetData>
    <row r="1" spans="1:28" s="88" customFormat="1" ht="11.25" x14ac:dyDescent="0.25">
      <c r="I1" s="91" t="s">
        <v>227</v>
      </c>
      <c r="J1" s="465" t="s">
        <v>239</v>
      </c>
      <c r="K1" s="466"/>
    </row>
    <row r="2" spans="1:28" s="88" customFormat="1" ht="10.5" customHeight="1" x14ac:dyDescent="0.25">
      <c r="A2" s="91" t="s">
        <v>227</v>
      </c>
      <c r="B2" s="477" t="s">
        <v>228</v>
      </c>
      <c r="C2" s="478"/>
      <c r="I2" s="91" t="s">
        <v>240</v>
      </c>
      <c r="J2" s="465">
        <v>12</v>
      </c>
      <c r="K2" s="466"/>
      <c r="N2" s="91" t="s">
        <v>227</v>
      </c>
      <c r="O2" s="477" t="s">
        <v>221</v>
      </c>
      <c r="P2" s="478"/>
      <c r="Q2" s="478"/>
      <c r="R2" s="478"/>
    </row>
    <row r="3" spans="1:28" s="88" customFormat="1" ht="11.25" x14ac:dyDescent="0.25">
      <c r="A3" s="91" t="s">
        <v>229</v>
      </c>
      <c r="B3" s="92">
        <v>0.45</v>
      </c>
      <c r="I3" s="91" t="s">
        <v>229</v>
      </c>
      <c r="J3" s="98">
        <v>0.3</v>
      </c>
      <c r="K3" s="99"/>
      <c r="N3" s="91" t="s">
        <v>229</v>
      </c>
      <c r="O3" s="92">
        <v>0.25</v>
      </c>
    </row>
    <row r="4" spans="1:28" s="88" customFormat="1" ht="11.25" x14ac:dyDescent="0.25">
      <c r="A4" s="93"/>
      <c r="B4" s="94"/>
      <c r="I4" s="93"/>
      <c r="J4" s="94"/>
      <c r="K4" s="94"/>
      <c r="N4" s="93"/>
      <c r="O4" s="94"/>
    </row>
    <row r="5" spans="1:28" s="88" customFormat="1" ht="22.5" x14ac:dyDescent="0.25">
      <c r="A5" s="100" t="s">
        <v>39</v>
      </c>
      <c r="B5" s="96" t="s">
        <v>230</v>
      </c>
      <c r="C5" s="96" t="s">
        <v>231</v>
      </c>
      <c r="D5" s="96" t="s">
        <v>232</v>
      </c>
      <c r="I5" s="100" t="s">
        <v>39</v>
      </c>
      <c r="J5" s="96" t="s">
        <v>230</v>
      </c>
      <c r="K5" s="96" t="s">
        <v>231</v>
      </c>
      <c r="L5" s="96" t="s">
        <v>232</v>
      </c>
      <c r="N5" s="467" t="s">
        <v>39</v>
      </c>
      <c r="O5" s="468"/>
      <c r="P5" s="469"/>
      <c r="Q5" s="91" t="s">
        <v>230</v>
      </c>
      <c r="R5" s="91" t="s">
        <v>231</v>
      </c>
      <c r="S5" s="91" t="s">
        <v>232</v>
      </c>
    </row>
    <row r="6" spans="1:28" s="88" customFormat="1" ht="22.5" x14ac:dyDescent="0.25">
      <c r="A6" s="95" t="s">
        <v>233</v>
      </c>
      <c r="B6" s="101">
        <v>0</v>
      </c>
      <c r="C6" s="101">
        <v>0.1</v>
      </c>
      <c r="D6" s="102">
        <v>0</v>
      </c>
      <c r="I6" s="97" t="s">
        <v>241</v>
      </c>
      <c r="J6" s="101">
        <v>0</v>
      </c>
      <c r="K6" s="101">
        <v>0.2</v>
      </c>
      <c r="L6" s="102">
        <v>20</v>
      </c>
      <c r="N6" s="470" t="s">
        <v>246</v>
      </c>
      <c r="O6" s="471"/>
      <c r="P6" s="472"/>
      <c r="Q6" s="257" t="s">
        <v>329</v>
      </c>
      <c r="R6" s="102">
        <v>3</v>
      </c>
      <c r="S6" s="102">
        <v>20</v>
      </c>
    </row>
    <row r="7" spans="1:28" s="88" customFormat="1" ht="11.25" x14ac:dyDescent="0.25">
      <c r="A7" s="95" t="s">
        <v>234</v>
      </c>
      <c r="B7" s="101">
        <v>0.1</v>
      </c>
      <c r="C7" s="101">
        <v>0.3</v>
      </c>
      <c r="D7" s="102">
        <v>40</v>
      </c>
      <c r="I7" s="95" t="s">
        <v>242</v>
      </c>
      <c r="J7" s="101">
        <v>0.2</v>
      </c>
      <c r="K7" s="101">
        <v>0.4</v>
      </c>
      <c r="L7" s="102">
        <v>40</v>
      </c>
      <c r="N7" s="470" t="s">
        <v>247</v>
      </c>
      <c r="O7" s="471"/>
      <c r="P7" s="472"/>
      <c r="Q7" s="102">
        <v>3</v>
      </c>
      <c r="R7" s="102">
        <v>4</v>
      </c>
      <c r="S7" s="102">
        <v>40</v>
      </c>
    </row>
    <row r="8" spans="1:28" s="88" customFormat="1" ht="11.25" x14ac:dyDescent="0.25">
      <c r="A8" s="95" t="s">
        <v>235</v>
      </c>
      <c r="B8" s="101">
        <v>0.3</v>
      </c>
      <c r="C8" s="101">
        <v>0.5</v>
      </c>
      <c r="D8" s="102">
        <v>60</v>
      </c>
      <c r="I8" s="95" t="s">
        <v>243</v>
      </c>
      <c r="J8" s="101">
        <v>0.4</v>
      </c>
      <c r="K8" s="101">
        <v>0.65</v>
      </c>
      <c r="L8" s="102">
        <v>60</v>
      </c>
      <c r="N8" s="470" t="s">
        <v>248</v>
      </c>
      <c r="O8" s="471"/>
      <c r="P8" s="472"/>
      <c r="Q8" s="102">
        <v>4</v>
      </c>
      <c r="R8" s="102">
        <v>5</v>
      </c>
      <c r="S8" s="102">
        <v>60</v>
      </c>
    </row>
    <row r="9" spans="1:28" s="88" customFormat="1" ht="11.25" x14ac:dyDescent="0.25">
      <c r="A9" s="95" t="s">
        <v>236</v>
      </c>
      <c r="B9" s="101">
        <v>0.5</v>
      </c>
      <c r="C9" s="101">
        <v>0.75</v>
      </c>
      <c r="D9" s="102">
        <v>80</v>
      </c>
      <c r="I9" s="95" t="s">
        <v>244</v>
      </c>
      <c r="J9" s="101">
        <v>0.65</v>
      </c>
      <c r="K9" s="101">
        <v>0.8</v>
      </c>
      <c r="L9" s="102">
        <v>80</v>
      </c>
      <c r="N9" s="470" t="s">
        <v>249</v>
      </c>
      <c r="O9" s="471"/>
      <c r="P9" s="472"/>
      <c r="Q9" s="102">
        <v>5</v>
      </c>
      <c r="R9" s="102">
        <v>6</v>
      </c>
      <c r="S9" s="102">
        <v>80</v>
      </c>
    </row>
    <row r="10" spans="1:28" ht="20.100000000000001" customHeight="1" x14ac:dyDescent="0.25">
      <c r="A10" s="95" t="s">
        <v>237</v>
      </c>
      <c r="B10" s="101">
        <v>0.75</v>
      </c>
      <c r="C10" s="101">
        <v>1</v>
      </c>
      <c r="D10" s="102">
        <v>100</v>
      </c>
      <c r="I10" s="95" t="s">
        <v>245</v>
      </c>
      <c r="J10" s="101">
        <v>0.8</v>
      </c>
      <c r="K10" s="101">
        <v>1</v>
      </c>
      <c r="L10" s="102">
        <v>100</v>
      </c>
      <c r="N10" s="470" t="s">
        <v>250</v>
      </c>
      <c r="O10" s="471"/>
      <c r="P10" s="472"/>
      <c r="Q10" s="102">
        <v>6</v>
      </c>
      <c r="R10" s="102">
        <v>7</v>
      </c>
      <c r="S10" s="102">
        <v>100</v>
      </c>
    </row>
    <row r="11" spans="1:28" x14ac:dyDescent="0.25">
      <c r="B11" s="190">
        <v>1</v>
      </c>
      <c r="C11" s="190">
        <v>2</v>
      </c>
      <c r="D11" s="190">
        <v>3</v>
      </c>
      <c r="E11" s="190">
        <v>4</v>
      </c>
      <c r="F11" s="190">
        <v>5</v>
      </c>
      <c r="G11" s="190">
        <v>6</v>
      </c>
      <c r="H11" s="191">
        <v>7</v>
      </c>
      <c r="I11" s="190">
        <v>8</v>
      </c>
      <c r="J11" s="190">
        <v>9</v>
      </c>
      <c r="K11" s="190">
        <v>10</v>
      </c>
      <c r="L11" s="190">
        <v>11</v>
      </c>
      <c r="M11" s="191">
        <v>12</v>
      </c>
      <c r="N11" s="190">
        <v>13</v>
      </c>
      <c r="O11" s="190">
        <v>14</v>
      </c>
      <c r="P11" s="190">
        <v>15</v>
      </c>
      <c r="Q11" s="190">
        <v>16</v>
      </c>
      <c r="R11" s="190">
        <v>17</v>
      </c>
      <c r="S11" s="191">
        <v>18</v>
      </c>
      <c r="T11" s="191">
        <v>19</v>
      </c>
      <c r="U11" s="190">
        <v>20</v>
      </c>
      <c r="V11" s="190">
        <v>21</v>
      </c>
    </row>
    <row r="12" spans="1:28" ht="36.75" customHeight="1" x14ac:dyDescent="0.25">
      <c r="A12" s="475" t="s">
        <v>177</v>
      </c>
      <c r="B12" s="476" t="s">
        <v>196</v>
      </c>
      <c r="C12" s="149" t="s">
        <v>285</v>
      </c>
      <c r="Z12" s="474" t="s">
        <v>327</v>
      </c>
      <c r="AA12" s="474"/>
      <c r="AB12" s="474"/>
    </row>
    <row r="13" spans="1:28" ht="36.75" customHeight="1" x14ac:dyDescent="0.25">
      <c r="A13" s="475"/>
      <c r="B13" s="476"/>
      <c r="C13" s="149"/>
      <c r="H13" s="239" t="s">
        <v>313</v>
      </c>
      <c r="I13" s="239" t="s">
        <v>331</v>
      </c>
      <c r="J13" s="239" t="s">
        <v>332</v>
      </c>
      <c r="M13" s="239" t="s">
        <v>314</v>
      </c>
      <c r="S13" s="239" t="s">
        <v>315</v>
      </c>
      <c r="Z13" s="473" t="s">
        <v>438</v>
      </c>
      <c r="AA13" s="473"/>
      <c r="AB13" s="473"/>
    </row>
    <row r="14" spans="1:28" ht="63.75" x14ac:dyDescent="0.25">
      <c r="A14" s="475"/>
      <c r="B14" s="476"/>
      <c r="C14" s="148" t="s">
        <v>401</v>
      </c>
      <c r="D14" s="105" t="s">
        <v>402</v>
      </c>
      <c r="E14" s="105" t="s">
        <v>222</v>
      </c>
      <c r="F14" s="106" t="s">
        <v>225</v>
      </c>
      <c r="G14" s="105" t="s">
        <v>226</v>
      </c>
      <c r="H14" s="13" t="s">
        <v>238</v>
      </c>
      <c r="I14" s="105" t="s">
        <v>262</v>
      </c>
      <c r="J14" s="105" t="s">
        <v>224</v>
      </c>
      <c r="K14" s="105" t="s">
        <v>225</v>
      </c>
      <c r="L14" s="105" t="s">
        <v>226</v>
      </c>
      <c r="M14" s="119" t="s">
        <v>252</v>
      </c>
      <c r="N14" s="300" t="s">
        <v>223</v>
      </c>
      <c r="O14" s="105" t="s">
        <v>251</v>
      </c>
      <c r="P14" s="105" t="s">
        <v>221</v>
      </c>
      <c r="Q14" s="105" t="s">
        <v>225</v>
      </c>
      <c r="R14" s="105" t="s">
        <v>226</v>
      </c>
      <c r="S14" s="103" t="s">
        <v>253</v>
      </c>
      <c r="T14" s="186" t="s">
        <v>254</v>
      </c>
      <c r="U14" s="186" t="s">
        <v>255</v>
      </c>
      <c r="V14" s="187" t="s">
        <v>256</v>
      </c>
      <c r="Z14" s="297" t="s">
        <v>422</v>
      </c>
      <c r="AA14" s="297" t="s">
        <v>402</v>
      </c>
      <c r="AB14" s="298" t="s">
        <v>284</v>
      </c>
    </row>
    <row r="15" spans="1:28" s="150" customFormat="1" x14ac:dyDescent="0.25">
      <c r="A15" s="102" t="s">
        <v>190</v>
      </c>
      <c r="B15" s="102" t="s">
        <v>28</v>
      </c>
      <c r="C15" s="111">
        <v>3444</v>
      </c>
      <c r="D15" s="111">
        <v>3828</v>
      </c>
      <c r="E15" s="256">
        <f t="shared" ref="E15:E30" si="0">+IF(C15/D15&lt;0.1,0,C15/D15)</f>
        <v>0.89968652037617558</v>
      </c>
      <c r="F15" s="112">
        <f>IF(E15&gt;=$B$10,$D$10,IF(E15&gt;=$B$9,$D$9,IF(E15&gt;=$B$8,$D$8,IF(E15&gt;=$B$7,$D$7,$D$6))))</f>
        <v>100</v>
      </c>
      <c r="G15" s="111">
        <f t="shared" ref="G15:G32" si="1">F15/$F$33</f>
        <v>0.26315789473684209</v>
      </c>
      <c r="H15" s="113">
        <f>IF(E15&gt;0,F15*$B$3,0)</f>
        <v>45</v>
      </c>
      <c r="I15" s="111">
        <v>11</v>
      </c>
      <c r="J15" s="108">
        <v>0.91666666666666663</v>
      </c>
      <c r="K15" s="112">
        <f>IF(J15&gt;=$J$10,$L$10,IF(J15&gt;=$J$9,$L$9,IF(J15&gt;=$J$8,$L$8,IF(J15&gt;=$J$7,$L$7,$L$6))))</f>
        <v>100</v>
      </c>
      <c r="L15" s="114">
        <f t="shared" ref="L15:L22" si="2">K15/$K$33</f>
        <v>0.14705882352941177</v>
      </c>
      <c r="M15" s="120">
        <f t="shared" ref="M15:M30" si="3">IF(E15&gt;0,K15*$J$3,0)</f>
        <v>30</v>
      </c>
      <c r="N15" s="121">
        <v>18</v>
      </c>
      <c r="O15" s="121">
        <v>91</v>
      </c>
      <c r="P15" s="301">
        <v>5.0555555555555554</v>
      </c>
      <c r="Q15" s="115">
        <f>IF(P15&gt;=$Q$10,$S$10,IF(P15&gt;=$Q$9,$S$9,IF(P15&gt;=$Q$8,$S$8,IF(P15&gt;=$Q$7,$S$7,IF(P15&gt;$Q$6,$S$6,0)))))</f>
        <v>80</v>
      </c>
      <c r="R15" s="177">
        <f t="shared" ref="R15:R22" si="4">Q15/$Q$33</f>
        <v>0.16666666666666666</v>
      </c>
      <c r="S15" s="111">
        <f t="shared" ref="S15:S30" si="5">+IF(E15&gt;0,Q15*$O$3,0)</f>
        <v>20</v>
      </c>
      <c r="T15" s="116">
        <f>+H15+M15+S15</f>
        <v>95</v>
      </c>
      <c r="U15" s="117">
        <f t="shared" ref="U15:U32" si="6">+T15/$T$33</f>
        <v>0.19191919191919191</v>
      </c>
      <c r="V15" s="376">
        <f t="shared" ref="V15:V32" si="7">+U15*$B$37</f>
        <v>148913.16212121211</v>
      </c>
      <c r="W15" s="84"/>
      <c r="X15" s="84"/>
      <c r="Y15" s="84"/>
      <c r="Z15" s="111">
        <v>3444</v>
      </c>
      <c r="AA15" s="111">
        <v>3828</v>
      </c>
      <c r="AB15" s="179">
        <f t="shared" ref="AB15:AB30" si="8">+Z15/AA15</f>
        <v>0.89968652037617558</v>
      </c>
    </row>
    <row r="16" spans="1:28" s="150" customFormat="1" x14ac:dyDescent="0.25">
      <c r="A16" s="102" t="s">
        <v>191</v>
      </c>
      <c r="B16" s="102" t="s">
        <v>27</v>
      </c>
      <c r="C16" s="111">
        <v>1863</v>
      </c>
      <c r="D16" s="111">
        <v>6548</v>
      </c>
      <c r="E16" s="256">
        <f t="shared" si="0"/>
        <v>0.28451435552840559</v>
      </c>
      <c r="F16" s="112">
        <f t="shared" ref="F16:F30" si="9">IF(E16&gt;=$B$10,$D$10,IF(E16&gt;=$B$9,$D$9,IF(E16&gt;=$B$8,$D$8,IF(E16&gt;=$B$7,$D$7,$D$6))))</f>
        <v>40</v>
      </c>
      <c r="G16" s="111">
        <f t="shared" si="1"/>
        <v>0.10526315789473684</v>
      </c>
      <c r="H16" s="113">
        <f t="shared" ref="H16:H30" si="10">IF(E16&gt;0,F16*$B$3,0)</f>
        <v>18</v>
      </c>
      <c r="I16" s="111">
        <v>12</v>
      </c>
      <c r="J16" s="108">
        <v>1</v>
      </c>
      <c r="K16" s="112">
        <f t="shared" ref="K16:K22" si="11">IF(J16&gt;=$J$10,$L$10,IF(J16&gt;=$J$9,$L$9,IF(J16&gt;=$J$8,$L$8,IF(J16&gt;=$J$7,$L$7,$L$6))))</f>
        <v>100</v>
      </c>
      <c r="L16" s="114">
        <f t="shared" si="2"/>
        <v>0.14705882352941177</v>
      </c>
      <c r="M16" s="120">
        <f t="shared" si="3"/>
        <v>30</v>
      </c>
      <c r="N16" s="121">
        <v>13</v>
      </c>
      <c r="O16" s="121">
        <v>52</v>
      </c>
      <c r="P16" s="301">
        <v>4</v>
      </c>
      <c r="Q16" s="115">
        <f t="shared" ref="Q16:Q21" si="12">IF(P16&gt;=$Q$10,$S$10,IF(P16&gt;=$Q$9,$S$9,IF(P16&gt;=$Q$8,$S$8,IF(P16&gt;=$Q$7,$S$7,IF(P16&gt;$Q$6,$S$6,0)))))</f>
        <v>60</v>
      </c>
      <c r="R16" s="177">
        <f t="shared" si="4"/>
        <v>0.125</v>
      </c>
      <c r="S16" s="111">
        <f t="shared" si="5"/>
        <v>15</v>
      </c>
      <c r="T16" s="116">
        <f t="shared" ref="T16:T30" si="13">+H16+M16+S16</f>
        <v>63</v>
      </c>
      <c r="U16" s="117">
        <f t="shared" si="6"/>
        <v>0.12727272727272726</v>
      </c>
      <c r="V16" s="376">
        <f t="shared" si="7"/>
        <v>98752.939090909087</v>
      </c>
      <c r="W16" s="84"/>
      <c r="X16" s="84"/>
      <c r="Y16" s="84"/>
      <c r="Z16" s="111">
        <v>1863</v>
      </c>
      <c r="AA16" s="111">
        <v>6548</v>
      </c>
      <c r="AB16" s="179">
        <f t="shared" si="8"/>
        <v>0.28451435552840559</v>
      </c>
    </row>
    <row r="17" spans="1:28" s="150" customFormat="1" x14ac:dyDescent="0.25">
      <c r="A17" s="102" t="s">
        <v>194</v>
      </c>
      <c r="B17" s="102" t="s">
        <v>89</v>
      </c>
      <c r="C17" s="111">
        <v>1762</v>
      </c>
      <c r="D17" s="111">
        <v>7408</v>
      </c>
      <c r="E17" s="256">
        <f t="shared" si="0"/>
        <v>0.23785097192224622</v>
      </c>
      <c r="F17" s="112">
        <f t="shared" si="9"/>
        <v>40</v>
      </c>
      <c r="G17" s="111">
        <f t="shared" si="1"/>
        <v>0.10526315789473684</v>
      </c>
      <c r="H17" s="113">
        <f t="shared" si="10"/>
        <v>18</v>
      </c>
      <c r="I17" s="111">
        <v>7</v>
      </c>
      <c r="J17" s="108">
        <v>0.58333333333333337</v>
      </c>
      <c r="K17" s="112">
        <f t="shared" si="11"/>
        <v>60</v>
      </c>
      <c r="L17" s="114">
        <f t="shared" si="2"/>
        <v>8.8235294117647065E-2</v>
      </c>
      <c r="M17" s="120">
        <f t="shared" si="3"/>
        <v>18</v>
      </c>
      <c r="N17" s="121">
        <v>7</v>
      </c>
      <c r="O17" s="121">
        <v>31</v>
      </c>
      <c r="P17" s="301">
        <v>4.4285714285714288</v>
      </c>
      <c r="Q17" s="115">
        <f t="shared" si="12"/>
        <v>60</v>
      </c>
      <c r="R17" s="177">
        <f t="shared" si="4"/>
        <v>0.125</v>
      </c>
      <c r="S17" s="111">
        <f t="shared" si="5"/>
        <v>15</v>
      </c>
      <c r="T17" s="116">
        <f t="shared" si="13"/>
        <v>51</v>
      </c>
      <c r="U17" s="117">
        <f t="shared" si="6"/>
        <v>0.10303030303030303</v>
      </c>
      <c r="V17" s="376">
        <f t="shared" si="7"/>
        <v>79942.855454545454</v>
      </c>
      <c r="W17" s="84"/>
      <c r="X17" s="84"/>
      <c r="Y17" s="84"/>
      <c r="Z17" s="111">
        <v>1762</v>
      </c>
      <c r="AA17" s="111">
        <v>7408</v>
      </c>
      <c r="AB17" s="179">
        <f t="shared" si="8"/>
        <v>0.23785097192224622</v>
      </c>
    </row>
    <row r="18" spans="1:28" x14ac:dyDescent="0.25">
      <c r="A18" s="102" t="s">
        <v>182</v>
      </c>
      <c r="B18" s="102" t="s">
        <v>7</v>
      </c>
      <c r="C18" s="111">
        <v>1690</v>
      </c>
      <c r="D18" s="111">
        <v>7465</v>
      </c>
      <c r="E18" s="107">
        <f t="shared" si="0"/>
        <v>0.22638981915606163</v>
      </c>
      <c r="F18" s="112">
        <f t="shared" si="9"/>
        <v>40</v>
      </c>
      <c r="G18" s="111">
        <f t="shared" si="1"/>
        <v>0.10526315789473684</v>
      </c>
      <c r="H18" s="113">
        <f t="shared" si="10"/>
        <v>18</v>
      </c>
      <c r="I18" s="111">
        <v>9</v>
      </c>
      <c r="J18" s="108">
        <v>0.75</v>
      </c>
      <c r="K18" s="112">
        <f t="shared" si="11"/>
        <v>80</v>
      </c>
      <c r="L18" s="114">
        <f t="shared" si="2"/>
        <v>0.11764705882352941</v>
      </c>
      <c r="M18" s="120">
        <f t="shared" si="3"/>
        <v>24</v>
      </c>
      <c r="N18" s="121">
        <v>11</v>
      </c>
      <c r="O18" s="121">
        <v>44</v>
      </c>
      <c r="P18" s="301">
        <v>4</v>
      </c>
      <c r="Q18" s="115">
        <f t="shared" si="12"/>
        <v>60</v>
      </c>
      <c r="R18" s="177">
        <f t="shared" si="4"/>
        <v>0.125</v>
      </c>
      <c r="S18" s="111">
        <f t="shared" si="5"/>
        <v>15</v>
      </c>
      <c r="T18" s="116">
        <f t="shared" si="13"/>
        <v>57</v>
      </c>
      <c r="U18" s="117">
        <f t="shared" si="6"/>
        <v>0.11515151515151516</v>
      </c>
      <c r="V18" s="376">
        <f t="shared" si="7"/>
        <v>89347.897272727292</v>
      </c>
      <c r="Z18" s="111">
        <v>1690</v>
      </c>
      <c r="AA18" s="111">
        <v>7465</v>
      </c>
      <c r="AB18" s="179">
        <f t="shared" si="8"/>
        <v>0.22638981915606163</v>
      </c>
    </row>
    <row r="19" spans="1:28" s="150" customFormat="1" x14ac:dyDescent="0.25">
      <c r="A19" s="102" t="s">
        <v>183</v>
      </c>
      <c r="B19" s="102" t="s">
        <v>8</v>
      </c>
      <c r="C19" s="111">
        <v>1566</v>
      </c>
      <c r="D19" s="111">
        <v>10667</v>
      </c>
      <c r="E19" s="107">
        <f t="shared" si="0"/>
        <v>0.14680791225274209</v>
      </c>
      <c r="F19" s="112">
        <f t="shared" si="9"/>
        <v>40</v>
      </c>
      <c r="G19" s="111">
        <f t="shared" si="1"/>
        <v>0.10526315789473684</v>
      </c>
      <c r="H19" s="113">
        <f t="shared" si="10"/>
        <v>18</v>
      </c>
      <c r="I19" s="111">
        <v>9</v>
      </c>
      <c r="J19" s="108">
        <v>0.75</v>
      </c>
      <c r="K19" s="112">
        <f t="shared" si="11"/>
        <v>80</v>
      </c>
      <c r="L19" s="114">
        <f t="shared" si="2"/>
        <v>0.11764705882352941</v>
      </c>
      <c r="M19" s="120">
        <f t="shared" si="3"/>
        <v>24</v>
      </c>
      <c r="N19" s="121">
        <v>8</v>
      </c>
      <c r="O19" s="121">
        <v>32</v>
      </c>
      <c r="P19" s="301">
        <v>4</v>
      </c>
      <c r="Q19" s="115">
        <f t="shared" si="12"/>
        <v>60</v>
      </c>
      <c r="R19" s="177">
        <f t="shared" si="4"/>
        <v>0.125</v>
      </c>
      <c r="S19" s="111">
        <f t="shared" si="5"/>
        <v>15</v>
      </c>
      <c r="T19" s="116">
        <f t="shared" si="13"/>
        <v>57</v>
      </c>
      <c r="U19" s="117">
        <f t="shared" si="6"/>
        <v>0.11515151515151516</v>
      </c>
      <c r="V19" s="376">
        <f t="shared" si="7"/>
        <v>89347.897272727292</v>
      </c>
      <c r="W19" s="84"/>
      <c r="X19" s="84"/>
      <c r="Y19" s="84"/>
      <c r="Z19" s="111">
        <v>1566</v>
      </c>
      <c r="AA19" s="111">
        <v>10667</v>
      </c>
      <c r="AB19" s="179">
        <f t="shared" si="8"/>
        <v>0.14680791225274209</v>
      </c>
    </row>
    <row r="20" spans="1:28" x14ac:dyDescent="0.25">
      <c r="A20" s="102" t="s">
        <v>184</v>
      </c>
      <c r="B20" s="102" t="s">
        <v>6</v>
      </c>
      <c r="C20" s="111">
        <v>1318</v>
      </c>
      <c r="D20" s="111">
        <v>11257</v>
      </c>
      <c r="E20" s="107">
        <f t="shared" si="0"/>
        <v>0.11708270409522964</v>
      </c>
      <c r="F20" s="112">
        <f t="shared" si="9"/>
        <v>40</v>
      </c>
      <c r="G20" s="111">
        <f t="shared" si="1"/>
        <v>0.10526315789473684</v>
      </c>
      <c r="H20" s="113">
        <f t="shared" si="10"/>
        <v>18</v>
      </c>
      <c r="I20" s="111">
        <v>7</v>
      </c>
      <c r="J20" s="108">
        <v>0.58333333333333337</v>
      </c>
      <c r="K20" s="112">
        <f t="shared" si="11"/>
        <v>60</v>
      </c>
      <c r="L20" s="114">
        <f t="shared" si="2"/>
        <v>8.8235294117647065E-2</v>
      </c>
      <c r="M20" s="120">
        <f t="shared" si="3"/>
        <v>18</v>
      </c>
      <c r="N20" s="121">
        <v>6</v>
      </c>
      <c r="O20" s="121">
        <v>30</v>
      </c>
      <c r="P20" s="301">
        <v>5</v>
      </c>
      <c r="Q20" s="115">
        <f t="shared" si="12"/>
        <v>80</v>
      </c>
      <c r="R20" s="177">
        <f t="shared" si="4"/>
        <v>0.16666666666666666</v>
      </c>
      <c r="S20" s="111">
        <f t="shared" si="5"/>
        <v>20</v>
      </c>
      <c r="T20" s="116">
        <f t="shared" si="13"/>
        <v>56</v>
      </c>
      <c r="U20" s="117">
        <f t="shared" si="6"/>
        <v>0.11313131313131314</v>
      </c>
      <c r="V20" s="376">
        <f t="shared" si="7"/>
        <v>87780.390303030319</v>
      </c>
      <c r="Z20" s="111">
        <v>1318</v>
      </c>
      <c r="AA20" s="111">
        <v>11257</v>
      </c>
      <c r="AB20" s="179">
        <f t="shared" si="8"/>
        <v>0.11708270409522964</v>
      </c>
    </row>
    <row r="21" spans="1:28" s="150" customFormat="1" x14ac:dyDescent="0.25">
      <c r="A21" s="102" t="s">
        <v>193</v>
      </c>
      <c r="B21" s="102" t="s">
        <v>25</v>
      </c>
      <c r="C21" s="111">
        <v>1212</v>
      </c>
      <c r="D21" s="111">
        <v>9733</v>
      </c>
      <c r="E21" s="107">
        <f t="shared" si="0"/>
        <v>0.12452481249357855</v>
      </c>
      <c r="F21" s="112">
        <f t="shared" si="9"/>
        <v>40</v>
      </c>
      <c r="G21" s="111">
        <f t="shared" si="1"/>
        <v>0.10526315789473684</v>
      </c>
      <c r="H21" s="113">
        <f t="shared" si="10"/>
        <v>18</v>
      </c>
      <c r="I21" s="111">
        <v>10</v>
      </c>
      <c r="J21" s="108">
        <v>0.83333333333333337</v>
      </c>
      <c r="K21" s="112">
        <f t="shared" si="11"/>
        <v>100</v>
      </c>
      <c r="L21" s="114">
        <f t="shared" si="2"/>
        <v>0.14705882352941177</v>
      </c>
      <c r="M21" s="120">
        <f t="shared" si="3"/>
        <v>30</v>
      </c>
      <c r="N21" s="121">
        <v>11</v>
      </c>
      <c r="O21" s="121">
        <v>43</v>
      </c>
      <c r="P21" s="301">
        <v>3.9090909090909092</v>
      </c>
      <c r="Q21" s="115">
        <f t="shared" si="12"/>
        <v>40</v>
      </c>
      <c r="R21" s="177">
        <f t="shared" si="4"/>
        <v>8.3333333333333329E-2</v>
      </c>
      <c r="S21" s="111">
        <f t="shared" si="5"/>
        <v>10</v>
      </c>
      <c r="T21" s="116">
        <f t="shared" si="13"/>
        <v>58</v>
      </c>
      <c r="U21" s="117">
        <f t="shared" si="6"/>
        <v>0.11717171717171718</v>
      </c>
      <c r="V21" s="376">
        <f t="shared" si="7"/>
        <v>90915.404242424251</v>
      </c>
      <c r="W21" s="84"/>
      <c r="X21" s="84"/>
      <c r="Y21" s="84"/>
      <c r="Z21" s="111">
        <v>1212</v>
      </c>
      <c r="AA21" s="111">
        <v>9733</v>
      </c>
      <c r="AB21" s="179">
        <f t="shared" si="8"/>
        <v>0.12452481249357855</v>
      </c>
    </row>
    <row r="22" spans="1:28" x14ac:dyDescent="0.25">
      <c r="A22" s="102" t="s">
        <v>185</v>
      </c>
      <c r="B22" s="102" t="s">
        <v>26</v>
      </c>
      <c r="C22" s="111">
        <v>447</v>
      </c>
      <c r="D22" s="111">
        <v>4036</v>
      </c>
      <c r="E22" s="108">
        <f t="shared" si="0"/>
        <v>0.11075322101090189</v>
      </c>
      <c r="F22" s="361">
        <f t="shared" si="9"/>
        <v>40</v>
      </c>
      <c r="G22" s="362">
        <f t="shared" si="1"/>
        <v>0.10526315789473684</v>
      </c>
      <c r="H22" s="363">
        <f t="shared" si="10"/>
        <v>18</v>
      </c>
      <c r="I22" s="111">
        <v>10</v>
      </c>
      <c r="J22" s="108">
        <v>0.83333333333333337</v>
      </c>
      <c r="K22" s="364">
        <f t="shared" si="11"/>
        <v>100</v>
      </c>
      <c r="L22" s="365">
        <f t="shared" si="2"/>
        <v>0.14705882352941177</v>
      </c>
      <c r="M22" s="120">
        <f t="shared" si="3"/>
        <v>30</v>
      </c>
      <c r="N22" s="121">
        <v>8</v>
      </c>
      <c r="O22" s="121">
        <v>30</v>
      </c>
      <c r="P22" s="301">
        <v>3.75</v>
      </c>
      <c r="Q22" s="115">
        <f t="shared" ref="Q22" si="14">IF(P22&gt;=$Q$10,$S$10,IF(P22&gt;=$Q$9,$S$9,IF(P22&gt;=$Q$8,$S$8,IF(P22&gt;=$Q$7,$S$7,IF(P22&gt;$Q$6,$S$6,0)))))</f>
        <v>40</v>
      </c>
      <c r="R22" s="177">
        <f t="shared" si="4"/>
        <v>8.3333333333333329E-2</v>
      </c>
      <c r="S22" s="113">
        <f t="shared" si="5"/>
        <v>10</v>
      </c>
      <c r="T22" s="116">
        <f t="shared" si="13"/>
        <v>58</v>
      </c>
      <c r="U22" s="117">
        <f t="shared" si="6"/>
        <v>0.11717171717171718</v>
      </c>
      <c r="V22" s="376">
        <f t="shared" si="7"/>
        <v>90915.404242424251</v>
      </c>
      <c r="W22" s="150"/>
      <c r="X22" s="150"/>
      <c r="Y22" s="150"/>
      <c r="Z22" s="111">
        <v>447</v>
      </c>
      <c r="AA22" s="111">
        <v>4036</v>
      </c>
      <c r="AB22" s="366">
        <f t="shared" si="8"/>
        <v>0.11075322101090189</v>
      </c>
    </row>
    <row r="23" spans="1:28" x14ac:dyDescent="0.25">
      <c r="A23" s="368" t="s">
        <v>188</v>
      </c>
      <c r="B23" s="368" t="s">
        <v>10</v>
      </c>
      <c r="C23" s="367">
        <v>996</v>
      </c>
      <c r="D23" s="367">
        <v>10021</v>
      </c>
      <c r="E23" s="369">
        <f>+IF(C23/D23&lt;0.1,0,C23/D23)</f>
        <v>0</v>
      </c>
      <c r="F23" s="181">
        <f>IF(E23&gt;=$B$10,$D$10,IF(E23&gt;=$B$9,$D$9,IF(E23&gt;=$B$8,$D$8,IF(E23&gt;=$B$7,$D$7,$D$6))))</f>
        <v>0</v>
      </c>
      <c r="G23" s="182">
        <f t="shared" si="1"/>
        <v>0</v>
      </c>
      <c r="H23" s="182">
        <f>IF(E23&gt;0,F23*$B$3,0)</f>
        <v>0</v>
      </c>
      <c r="I23" s="367">
        <v>10</v>
      </c>
      <c r="J23" s="369">
        <v>0.83333333333333337</v>
      </c>
      <c r="K23" s="181"/>
      <c r="L23" s="370"/>
      <c r="M23" s="183">
        <f>IF(E23&gt;0,K23*$J$3,0)</f>
        <v>0</v>
      </c>
      <c r="N23" s="371">
        <v>10</v>
      </c>
      <c r="O23" s="371">
        <v>37</v>
      </c>
      <c r="P23" s="374">
        <v>3.7</v>
      </c>
      <c r="Q23" s="372"/>
      <c r="R23" s="373"/>
      <c r="S23" s="182">
        <f t="shared" si="5"/>
        <v>0</v>
      </c>
      <c r="T23" s="184">
        <f>+H23+M23+S23</f>
        <v>0</v>
      </c>
      <c r="U23" s="185">
        <f t="shared" si="6"/>
        <v>0</v>
      </c>
      <c r="V23" s="182">
        <f t="shared" si="7"/>
        <v>0</v>
      </c>
      <c r="Z23" s="299">
        <v>996</v>
      </c>
      <c r="AA23" s="299">
        <v>10021</v>
      </c>
      <c r="AB23" s="180">
        <f>+Z23/AA23</f>
        <v>9.9391278315537374E-2</v>
      </c>
    </row>
    <row r="24" spans="1:28" x14ac:dyDescent="0.25">
      <c r="A24" s="368" t="s">
        <v>189</v>
      </c>
      <c r="B24" s="368" t="s">
        <v>23</v>
      </c>
      <c r="C24" s="367">
        <v>695</v>
      </c>
      <c r="D24" s="367">
        <v>7216</v>
      </c>
      <c r="E24" s="369">
        <f t="shared" si="0"/>
        <v>0</v>
      </c>
      <c r="F24" s="181">
        <f t="shared" si="9"/>
        <v>0</v>
      </c>
      <c r="G24" s="182">
        <f t="shared" si="1"/>
        <v>0</v>
      </c>
      <c r="H24" s="182">
        <f t="shared" si="10"/>
        <v>0</v>
      </c>
      <c r="I24" s="367">
        <v>7</v>
      </c>
      <c r="J24" s="369">
        <v>0.58333333333333337</v>
      </c>
      <c r="K24" s="181"/>
      <c r="L24" s="370"/>
      <c r="M24" s="183">
        <f t="shared" si="3"/>
        <v>0</v>
      </c>
      <c r="N24" s="371">
        <v>6</v>
      </c>
      <c r="O24" s="371">
        <v>21</v>
      </c>
      <c r="P24" s="374">
        <v>3.5</v>
      </c>
      <c r="Q24" s="372"/>
      <c r="R24" s="373"/>
      <c r="S24" s="182">
        <f t="shared" si="5"/>
        <v>0</v>
      </c>
      <c r="T24" s="184">
        <f t="shared" si="13"/>
        <v>0</v>
      </c>
      <c r="U24" s="185">
        <f t="shared" si="6"/>
        <v>0</v>
      </c>
      <c r="V24" s="182">
        <f t="shared" si="7"/>
        <v>0</v>
      </c>
      <c r="W24" s="150"/>
      <c r="X24" s="150"/>
      <c r="Y24" s="150"/>
      <c r="Z24" s="299">
        <v>695</v>
      </c>
      <c r="AA24" s="299">
        <v>7216</v>
      </c>
      <c r="AB24" s="180">
        <f t="shared" si="8"/>
        <v>9.6313747228381374E-2</v>
      </c>
    </row>
    <row r="25" spans="1:28" s="150" customFormat="1" x14ac:dyDescent="0.25">
      <c r="A25" s="368" t="s">
        <v>179</v>
      </c>
      <c r="B25" s="368" t="s">
        <v>3</v>
      </c>
      <c r="C25" s="367">
        <v>1683</v>
      </c>
      <c r="D25" s="367">
        <v>20369</v>
      </c>
      <c r="E25" s="369">
        <f t="shared" si="0"/>
        <v>0</v>
      </c>
      <c r="F25" s="181">
        <f t="shared" si="9"/>
        <v>0</v>
      </c>
      <c r="G25" s="182">
        <f t="shared" si="1"/>
        <v>0</v>
      </c>
      <c r="H25" s="182">
        <f t="shared" si="10"/>
        <v>0</v>
      </c>
      <c r="I25" s="367">
        <v>8</v>
      </c>
      <c r="J25" s="369">
        <v>0.66666666666666663</v>
      </c>
      <c r="K25" s="181"/>
      <c r="L25" s="370"/>
      <c r="M25" s="183">
        <f t="shared" si="3"/>
        <v>0</v>
      </c>
      <c r="N25" s="371">
        <v>9</v>
      </c>
      <c r="O25" s="371">
        <v>45</v>
      </c>
      <c r="P25" s="374">
        <v>5</v>
      </c>
      <c r="Q25" s="372"/>
      <c r="R25" s="373"/>
      <c r="S25" s="182">
        <f t="shared" si="5"/>
        <v>0</v>
      </c>
      <c r="T25" s="184">
        <f t="shared" si="13"/>
        <v>0</v>
      </c>
      <c r="U25" s="185">
        <f t="shared" si="6"/>
        <v>0</v>
      </c>
      <c r="V25" s="182">
        <f t="shared" si="7"/>
        <v>0</v>
      </c>
      <c r="Z25" s="299">
        <v>1683</v>
      </c>
      <c r="AA25" s="299">
        <v>20369</v>
      </c>
      <c r="AB25" s="180">
        <f t="shared" si="8"/>
        <v>8.2625558446659142E-2</v>
      </c>
    </row>
    <row r="26" spans="1:28" s="150" customFormat="1" x14ac:dyDescent="0.25">
      <c r="A26" s="368" t="s">
        <v>187</v>
      </c>
      <c r="B26" s="368" t="s">
        <v>24</v>
      </c>
      <c r="C26" s="367">
        <v>490</v>
      </c>
      <c r="D26" s="367">
        <v>6991</v>
      </c>
      <c r="E26" s="369">
        <f t="shared" si="0"/>
        <v>0</v>
      </c>
      <c r="F26" s="181">
        <f t="shared" si="9"/>
        <v>0</v>
      </c>
      <c r="G26" s="182">
        <f t="shared" si="1"/>
        <v>0</v>
      </c>
      <c r="H26" s="182">
        <f t="shared" si="10"/>
        <v>0</v>
      </c>
      <c r="I26" s="367">
        <v>4</v>
      </c>
      <c r="J26" s="369">
        <v>0.33333333333333331</v>
      </c>
      <c r="K26" s="181"/>
      <c r="L26" s="370"/>
      <c r="M26" s="183">
        <f t="shared" si="3"/>
        <v>0</v>
      </c>
      <c r="N26" s="371">
        <v>4</v>
      </c>
      <c r="O26" s="371">
        <v>12</v>
      </c>
      <c r="P26" s="374">
        <v>3</v>
      </c>
      <c r="Q26" s="372"/>
      <c r="R26" s="373"/>
      <c r="S26" s="182">
        <f t="shared" si="5"/>
        <v>0</v>
      </c>
      <c r="T26" s="184">
        <f t="shared" si="13"/>
        <v>0</v>
      </c>
      <c r="U26" s="185">
        <f t="shared" si="6"/>
        <v>0</v>
      </c>
      <c r="V26" s="182">
        <f t="shared" si="7"/>
        <v>0</v>
      </c>
      <c r="Z26" s="299">
        <v>490</v>
      </c>
      <c r="AA26" s="299">
        <v>6991</v>
      </c>
      <c r="AB26" s="180">
        <f t="shared" si="8"/>
        <v>7.0090115863252755E-2</v>
      </c>
    </row>
    <row r="27" spans="1:28" x14ac:dyDescent="0.25">
      <c r="A27" s="368" t="s">
        <v>181</v>
      </c>
      <c r="B27" s="368" t="s">
        <v>9</v>
      </c>
      <c r="C27" s="367">
        <v>508</v>
      </c>
      <c r="D27" s="367">
        <v>7043</v>
      </c>
      <c r="E27" s="369">
        <f t="shared" si="0"/>
        <v>0</v>
      </c>
      <c r="F27" s="181">
        <f t="shared" si="9"/>
        <v>0</v>
      </c>
      <c r="G27" s="182">
        <f t="shared" si="1"/>
        <v>0</v>
      </c>
      <c r="H27" s="182">
        <f t="shared" si="10"/>
        <v>0</v>
      </c>
      <c r="I27" s="367">
        <v>7</v>
      </c>
      <c r="J27" s="369">
        <v>0.58333333333333337</v>
      </c>
      <c r="K27" s="181"/>
      <c r="L27" s="370"/>
      <c r="M27" s="183">
        <f t="shared" si="3"/>
        <v>0</v>
      </c>
      <c r="N27" s="371">
        <v>7</v>
      </c>
      <c r="O27" s="371">
        <v>25</v>
      </c>
      <c r="P27" s="374">
        <v>3.5714285714285716</v>
      </c>
      <c r="Q27" s="372"/>
      <c r="R27" s="373"/>
      <c r="S27" s="182">
        <f t="shared" si="5"/>
        <v>0</v>
      </c>
      <c r="T27" s="184">
        <f t="shared" si="13"/>
        <v>0</v>
      </c>
      <c r="U27" s="185">
        <f t="shared" si="6"/>
        <v>0</v>
      </c>
      <c r="V27" s="182">
        <f t="shared" si="7"/>
        <v>0</v>
      </c>
      <c r="W27" s="150"/>
      <c r="X27" s="150"/>
      <c r="Y27" s="150"/>
      <c r="Z27" s="299">
        <v>508</v>
      </c>
      <c r="AA27" s="299">
        <v>7043</v>
      </c>
      <c r="AB27" s="180">
        <f t="shared" si="8"/>
        <v>7.2128354394434185E-2</v>
      </c>
    </row>
    <row r="28" spans="1:28" s="150" customFormat="1" x14ac:dyDescent="0.25">
      <c r="A28" s="368" t="s">
        <v>186</v>
      </c>
      <c r="B28" s="368" t="s">
        <v>5</v>
      </c>
      <c r="C28" s="367">
        <v>441</v>
      </c>
      <c r="D28" s="367">
        <v>10996</v>
      </c>
      <c r="E28" s="369">
        <f t="shared" si="0"/>
        <v>0</v>
      </c>
      <c r="F28" s="181">
        <f t="shared" si="9"/>
        <v>0</v>
      </c>
      <c r="G28" s="182">
        <f t="shared" si="1"/>
        <v>0</v>
      </c>
      <c r="H28" s="182">
        <f t="shared" si="10"/>
        <v>0</v>
      </c>
      <c r="I28" s="367">
        <v>5</v>
      </c>
      <c r="J28" s="369">
        <v>0.41666666666666669</v>
      </c>
      <c r="K28" s="181"/>
      <c r="L28" s="370"/>
      <c r="M28" s="183">
        <f t="shared" si="3"/>
        <v>0</v>
      </c>
      <c r="N28" s="371">
        <v>8</v>
      </c>
      <c r="O28" s="371">
        <v>31</v>
      </c>
      <c r="P28" s="374">
        <v>3.875</v>
      </c>
      <c r="Q28" s="372"/>
      <c r="R28" s="373"/>
      <c r="S28" s="182">
        <f t="shared" si="5"/>
        <v>0</v>
      </c>
      <c r="T28" s="184">
        <f t="shared" si="13"/>
        <v>0</v>
      </c>
      <c r="U28" s="185">
        <f t="shared" si="6"/>
        <v>0</v>
      </c>
      <c r="V28" s="182">
        <f t="shared" si="7"/>
        <v>0</v>
      </c>
      <c r="Z28" s="299">
        <v>441</v>
      </c>
      <c r="AA28" s="299">
        <v>10996</v>
      </c>
      <c r="AB28" s="180">
        <f t="shared" si="8"/>
        <v>4.0105492906511456E-2</v>
      </c>
    </row>
    <row r="29" spans="1:28" x14ac:dyDescent="0.25">
      <c r="A29" s="368" t="s">
        <v>180</v>
      </c>
      <c r="B29" s="368" t="s">
        <v>4</v>
      </c>
      <c r="C29" s="367">
        <v>531</v>
      </c>
      <c r="D29" s="367">
        <v>14791</v>
      </c>
      <c r="E29" s="369">
        <f t="shared" si="0"/>
        <v>0</v>
      </c>
      <c r="F29" s="181">
        <f t="shared" si="9"/>
        <v>0</v>
      </c>
      <c r="G29" s="182">
        <f t="shared" si="1"/>
        <v>0</v>
      </c>
      <c r="H29" s="182">
        <f t="shared" si="10"/>
        <v>0</v>
      </c>
      <c r="I29" s="367">
        <v>5</v>
      </c>
      <c r="J29" s="369">
        <v>0.41666666666666669</v>
      </c>
      <c r="K29" s="181"/>
      <c r="L29" s="370"/>
      <c r="M29" s="183">
        <f t="shared" si="3"/>
        <v>0</v>
      </c>
      <c r="N29" s="371">
        <v>5</v>
      </c>
      <c r="O29" s="371">
        <v>19</v>
      </c>
      <c r="P29" s="374">
        <v>3.8</v>
      </c>
      <c r="Q29" s="372"/>
      <c r="R29" s="373"/>
      <c r="S29" s="182">
        <f t="shared" si="5"/>
        <v>0</v>
      </c>
      <c r="T29" s="184">
        <f t="shared" si="13"/>
        <v>0</v>
      </c>
      <c r="U29" s="185">
        <f t="shared" si="6"/>
        <v>0</v>
      </c>
      <c r="V29" s="182">
        <f t="shared" si="7"/>
        <v>0</v>
      </c>
      <c r="W29" s="150"/>
      <c r="X29" s="150"/>
      <c r="Y29" s="150"/>
      <c r="Z29" s="299">
        <v>531</v>
      </c>
      <c r="AA29" s="299">
        <v>14791</v>
      </c>
      <c r="AB29" s="180">
        <f t="shared" si="8"/>
        <v>3.590020958691096E-2</v>
      </c>
    </row>
    <row r="30" spans="1:28" x14ac:dyDescent="0.25">
      <c r="A30" s="368" t="s">
        <v>178</v>
      </c>
      <c r="B30" s="368" t="s">
        <v>2</v>
      </c>
      <c r="C30" s="367">
        <v>863</v>
      </c>
      <c r="D30" s="367">
        <v>33757</v>
      </c>
      <c r="E30" s="369">
        <f t="shared" si="0"/>
        <v>0</v>
      </c>
      <c r="F30" s="181">
        <f t="shared" si="9"/>
        <v>0</v>
      </c>
      <c r="G30" s="182">
        <f t="shared" si="1"/>
        <v>0</v>
      </c>
      <c r="H30" s="182">
        <f t="shared" si="10"/>
        <v>0</v>
      </c>
      <c r="I30" s="367">
        <v>4</v>
      </c>
      <c r="J30" s="369">
        <v>0.33333333333333331</v>
      </c>
      <c r="K30" s="181"/>
      <c r="L30" s="370"/>
      <c r="M30" s="183">
        <f t="shared" si="3"/>
        <v>0</v>
      </c>
      <c r="N30" s="371">
        <v>4</v>
      </c>
      <c r="O30" s="371">
        <v>17</v>
      </c>
      <c r="P30" s="374">
        <v>4.25</v>
      </c>
      <c r="Q30" s="372"/>
      <c r="R30" s="373"/>
      <c r="S30" s="182">
        <f t="shared" si="5"/>
        <v>0</v>
      </c>
      <c r="T30" s="184">
        <f t="shared" si="13"/>
        <v>0</v>
      </c>
      <c r="U30" s="185">
        <f t="shared" si="6"/>
        <v>0</v>
      </c>
      <c r="V30" s="182">
        <f t="shared" si="7"/>
        <v>0</v>
      </c>
      <c r="W30" s="150"/>
      <c r="X30" s="150"/>
      <c r="Y30" s="150"/>
      <c r="Z30" s="299">
        <v>863</v>
      </c>
      <c r="AA30" s="299">
        <v>33757</v>
      </c>
      <c r="AB30" s="180">
        <f t="shared" si="8"/>
        <v>2.556506798589922E-2</v>
      </c>
    </row>
    <row r="31" spans="1:28" x14ac:dyDescent="0.25">
      <c r="A31" s="162" t="s">
        <v>192</v>
      </c>
      <c r="B31" s="162" t="s">
        <v>29</v>
      </c>
      <c r="C31" s="163">
        <v>0</v>
      </c>
      <c r="D31" s="163">
        <v>0</v>
      </c>
      <c r="E31" s="164"/>
      <c r="F31" s="165">
        <v>0</v>
      </c>
      <c r="G31" s="163">
        <f t="shared" si="1"/>
        <v>0</v>
      </c>
      <c r="H31" s="166">
        <f t="shared" ref="H31:H32" si="15">IF(E31&gt;0,F31*$B$3,0)</f>
        <v>0</v>
      </c>
      <c r="I31" s="163"/>
      <c r="J31" s="164"/>
      <c r="K31" s="165"/>
      <c r="L31" s="167">
        <f>K31/$K$33</f>
        <v>0</v>
      </c>
      <c r="M31" s="168">
        <f t="shared" ref="M31:M32" si="16">IF(E31&gt;0,K31*$J$3,0)</f>
        <v>0</v>
      </c>
      <c r="N31" s="169"/>
      <c r="O31" s="163"/>
      <c r="P31" s="170"/>
      <c r="Q31" s="171">
        <f t="shared" ref="Q31:Q32" si="17">IF(P31&gt;=$Q$10,$S$10,IF(P31&gt;=$Q$9,$S$9,IF(P31&gt;=$Q$8,$S$8,IF(P31&gt;=$Q$7,$S$7,IF(P31&gt;$Q$6,$S$6,0)))))</f>
        <v>0</v>
      </c>
      <c r="R31" s="167">
        <f>Q31/$K$33</f>
        <v>0</v>
      </c>
      <c r="S31" s="163">
        <f t="shared" ref="S31:S32" si="18">+IF(E31&gt;0,Q31*$O$3,0)</f>
        <v>0</v>
      </c>
      <c r="T31" s="172">
        <f t="shared" ref="T31:T32" si="19">+H31+M31+S31</f>
        <v>0</v>
      </c>
      <c r="U31" s="173">
        <f t="shared" si="6"/>
        <v>0</v>
      </c>
      <c r="V31" s="163">
        <f t="shared" si="7"/>
        <v>0</v>
      </c>
      <c r="Z31" s="163">
        <v>0</v>
      </c>
      <c r="AA31" s="163">
        <v>0</v>
      </c>
      <c r="AB31" s="178"/>
    </row>
    <row r="32" spans="1:28" x14ac:dyDescent="0.25">
      <c r="A32" s="162" t="s">
        <v>195</v>
      </c>
      <c r="B32" s="162" t="s">
        <v>91</v>
      </c>
      <c r="C32" s="163">
        <v>0</v>
      </c>
      <c r="D32" s="163">
        <v>0</v>
      </c>
      <c r="E32" s="164"/>
      <c r="F32" s="165">
        <v>0</v>
      </c>
      <c r="G32" s="163">
        <f t="shared" si="1"/>
        <v>0</v>
      </c>
      <c r="H32" s="166">
        <f t="shared" si="15"/>
        <v>0</v>
      </c>
      <c r="I32" s="163"/>
      <c r="J32" s="164"/>
      <c r="K32" s="165"/>
      <c r="L32" s="167">
        <f>K32/$K$33</f>
        <v>0</v>
      </c>
      <c r="M32" s="168">
        <f t="shared" si="16"/>
        <v>0</v>
      </c>
      <c r="N32" s="169"/>
      <c r="O32" s="163"/>
      <c r="P32" s="170"/>
      <c r="Q32" s="171">
        <f t="shared" si="17"/>
        <v>0</v>
      </c>
      <c r="R32" s="167">
        <f>Q32/$K$33</f>
        <v>0</v>
      </c>
      <c r="S32" s="163">
        <f t="shared" si="18"/>
        <v>0</v>
      </c>
      <c r="T32" s="172">
        <f t="shared" si="19"/>
        <v>0</v>
      </c>
      <c r="U32" s="173">
        <f t="shared" si="6"/>
        <v>0</v>
      </c>
      <c r="V32" s="163">
        <f t="shared" si="7"/>
        <v>0</v>
      </c>
      <c r="Z32" s="163">
        <v>0</v>
      </c>
      <c r="AA32" s="163">
        <v>0</v>
      </c>
      <c r="AB32" s="178"/>
    </row>
    <row r="33" spans="1:22" x14ac:dyDescent="0.25">
      <c r="C33" s="84">
        <v>19509</v>
      </c>
      <c r="D33" s="84">
        <v>172126</v>
      </c>
      <c r="F33" s="118">
        <f>SUM(F15:F32)</f>
        <v>380</v>
      </c>
      <c r="G33" s="84">
        <f>SUBTOTAL(9,G15:G32)</f>
        <v>1</v>
      </c>
      <c r="I33" s="84">
        <v>125</v>
      </c>
      <c r="K33" s="118">
        <f>SUM(K15:K32)</f>
        <v>680</v>
      </c>
      <c r="N33" s="84">
        <f t="shared" ref="N33:V33" si="20">SUM(N15:N32)</f>
        <v>135</v>
      </c>
      <c r="O33" s="84">
        <f t="shared" si="20"/>
        <v>560</v>
      </c>
      <c r="P33" s="302">
        <f t="shared" si="20"/>
        <v>64.839646464646464</v>
      </c>
      <c r="Q33" s="84">
        <f t="shared" si="20"/>
        <v>480</v>
      </c>
      <c r="R33" s="176">
        <f t="shared" si="20"/>
        <v>1</v>
      </c>
      <c r="S33" s="84">
        <f t="shared" si="20"/>
        <v>120</v>
      </c>
      <c r="T33" s="118">
        <f>SUM(T15:T32)</f>
        <v>495</v>
      </c>
      <c r="U33" s="118">
        <f t="shared" si="20"/>
        <v>0.99999999999999978</v>
      </c>
      <c r="V33" s="375">
        <f t="shared" si="20"/>
        <v>775915.95000000019</v>
      </c>
    </row>
    <row r="34" spans="1:22" x14ac:dyDescent="0.25">
      <c r="B34" s="109">
        <v>1</v>
      </c>
      <c r="C34" s="109">
        <v>2</v>
      </c>
      <c r="D34" s="109">
        <v>3</v>
      </c>
      <c r="E34" s="109">
        <v>4</v>
      </c>
      <c r="F34" s="109">
        <v>5</v>
      </c>
      <c r="G34" s="109">
        <v>6</v>
      </c>
      <c r="H34" s="109">
        <v>7</v>
      </c>
      <c r="I34" s="109">
        <v>8</v>
      </c>
      <c r="J34" s="109">
        <v>9</v>
      </c>
      <c r="K34" s="109">
        <v>10</v>
      </c>
      <c r="L34" s="109">
        <v>11</v>
      </c>
      <c r="M34" s="109">
        <v>12</v>
      </c>
      <c r="N34" s="109">
        <v>13</v>
      </c>
      <c r="O34" s="109">
        <v>14</v>
      </c>
      <c r="P34" s="109">
        <v>15</v>
      </c>
      <c r="Q34" s="109">
        <v>16</v>
      </c>
      <c r="R34" s="176">
        <v>17</v>
      </c>
      <c r="S34" s="109">
        <v>18</v>
      </c>
      <c r="T34" s="109">
        <v>19</v>
      </c>
      <c r="U34" s="109">
        <v>20</v>
      </c>
      <c r="V34" s="109">
        <v>21</v>
      </c>
    </row>
    <row r="35" spans="1:22" x14ac:dyDescent="0.25">
      <c r="J35" s="74"/>
    </row>
    <row r="37" spans="1:22" ht="15.75" x14ac:dyDescent="0.25">
      <c r="A37" s="104" t="s">
        <v>257</v>
      </c>
      <c r="B37" s="84">
        <f>+Refuerzo!B32</f>
        <v>775915.95000000007</v>
      </c>
    </row>
  </sheetData>
  <autoFilter ref="A14:AB34" xr:uid="{EA898831-B70C-4207-A6FD-C0BDBB37324B}"/>
  <sortState xmlns:xlrd2="http://schemas.microsoft.com/office/spreadsheetml/2017/richdata2" ref="A15:AB30">
    <sortCondition descending="1" ref="AB15:AB30"/>
  </sortState>
  <mergeCells count="14">
    <mergeCell ref="A12:A14"/>
    <mergeCell ref="B12:B14"/>
    <mergeCell ref="O2:R2"/>
    <mergeCell ref="N7:P7"/>
    <mergeCell ref="N8:P8"/>
    <mergeCell ref="N9:P9"/>
    <mergeCell ref="N10:P10"/>
    <mergeCell ref="B2:C2"/>
    <mergeCell ref="J1:K1"/>
    <mergeCell ref="J2:K2"/>
    <mergeCell ref="N5:P5"/>
    <mergeCell ref="N6:P6"/>
    <mergeCell ref="Z13:AB13"/>
    <mergeCell ref="Z12:AB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F61C-299F-4923-A5DE-AFC26278A340}">
  <sheetPr>
    <tabColor theme="9" tint="0.59999389629810485"/>
  </sheetPr>
  <dimension ref="A1:J26"/>
  <sheetViews>
    <sheetView topLeftCell="A3" workbookViewId="0">
      <selection activeCell="M28" sqref="M28"/>
    </sheetView>
  </sheetViews>
  <sheetFormatPr baseColWidth="10" defaultRowHeight="15" x14ac:dyDescent="0.25"/>
  <cols>
    <col min="2" max="9" width="12.7109375" customWidth="1"/>
    <col min="10" max="10" width="15.5703125" bestFit="1" customWidth="1"/>
  </cols>
  <sheetData>
    <row r="1" spans="1:10" x14ac:dyDescent="0.25">
      <c r="B1" s="240" t="s">
        <v>323</v>
      </c>
      <c r="C1" s="240" t="s">
        <v>324</v>
      </c>
      <c r="D1" s="240" t="s">
        <v>319</v>
      </c>
      <c r="E1" s="240" t="s">
        <v>320</v>
      </c>
      <c r="F1" s="240" t="s">
        <v>317</v>
      </c>
      <c r="G1" s="240" t="s">
        <v>318</v>
      </c>
    </row>
    <row r="2" spans="1:10" x14ac:dyDescent="0.25">
      <c r="B2" s="479">
        <v>45224</v>
      </c>
      <c r="C2" s="480"/>
      <c r="D2" s="326">
        <v>0.5</v>
      </c>
      <c r="E2" s="326">
        <v>0.5</v>
      </c>
      <c r="F2" s="35"/>
      <c r="G2" s="35"/>
      <c r="H2" s="1"/>
      <c r="I2" s="1"/>
    </row>
    <row r="3" spans="1:10" s="85" customFormat="1" ht="60" x14ac:dyDescent="0.25">
      <c r="A3" s="307" t="s">
        <v>196</v>
      </c>
      <c r="B3" s="325" t="s">
        <v>410</v>
      </c>
      <c r="C3" s="325" t="s">
        <v>428</v>
      </c>
      <c r="D3" s="241" t="s">
        <v>258</v>
      </c>
      <c r="E3" s="241" t="s">
        <v>259</v>
      </c>
      <c r="F3" s="241" t="s">
        <v>340</v>
      </c>
      <c r="G3" s="241" t="s">
        <v>341</v>
      </c>
      <c r="H3" s="241" t="s">
        <v>321</v>
      </c>
      <c r="I3" s="110" t="s">
        <v>260</v>
      </c>
    </row>
    <row r="4" spans="1:10" x14ac:dyDescent="0.25">
      <c r="A4" s="59" t="s">
        <v>2</v>
      </c>
      <c r="B4" s="327">
        <f>+VLOOKUP(A4,'Indicadores Género'!$C$10:$G$27,5,0)</f>
        <v>75.92582526631108</v>
      </c>
      <c r="C4" s="327">
        <f>+VLOOKUP(A4,'Indicadores Género'!$C$36:$G$53,5,0)</f>
        <v>69.987125451008652</v>
      </c>
      <c r="D4" s="122">
        <f>+B4/$B$22</f>
        <v>7.845296397511152E-2</v>
      </c>
      <c r="E4" s="122">
        <f>+C4/$C$22</f>
        <v>5.8469559117782149E-2</v>
      </c>
      <c r="F4" s="122">
        <f>+D4*$D$2</f>
        <v>3.922648198755576E-2</v>
      </c>
      <c r="G4" s="122">
        <f>+E4*$E$2</f>
        <v>2.9234779558891075E-2</v>
      </c>
      <c r="H4" s="122">
        <f>SUM(F4:G4)</f>
        <v>6.8461261546446828E-2</v>
      </c>
      <c r="I4" s="328">
        <f>+H4*$C$25</f>
        <v>159360.55437302927</v>
      </c>
      <c r="J4" s="258">
        <f>H4</f>
        <v>6.8461261546446828E-2</v>
      </c>
    </row>
    <row r="5" spans="1:10" x14ac:dyDescent="0.25">
      <c r="A5" s="59" t="s">
        <v>3</v>
      </c>
      <c r="B5" s="327">
        <f>+VLOOKUP(A5,'Indicadores Género'!$C$10:$G$27,5,0)</f>
        <v>56.123304874779159</v>
      </c>
      <c r="C5" s="327">
        <f>+VLOOKUP(A5,'Indicadores Género'!$C$36:$G$53,5,0)</f>
        <v>57.741807002746839</v>
      </c>
      <c r="D5" s="122">
        <f t="shared" ref="D5:D21" si="0">+B5/$B$22</f>
        <v>5.7991330355139592E-2</v>
      </c>
      <c r="E5" s="122">
        <f t="shared" ref="E5:E21" si="1">+C5/$C$22</f>
        <v>4.8239415126114696E-2</v>
      </c>
      <c r="F5" s="122">
        <f t="shared" ref="F5:F21" si="2">+D5*$D$2</f>
        <v>2.8995665177569796E-2</v>
      </c>
      <c r="G5" s="122">
        <f t="shared" ref="G5:G21" si="3">+E5*$E$2</f>
        <v>2.4119707563057348E-2</v>
      </c>
      <c r="H5" s="122">
        <f t="shared" ref="H5:H21" si="4">SUM(F5:G5)</f>
        <v>5.3115372740627144E-2</v>
      </c>
      <c r="I5" s="328">
        <f t="shared" ref="I5:I21" si="5">+H5*$C$25</f>
        <v>123639.19469894345</v>
      </c>
      <c r="J5" s="258">
        <f t="shared" ref="J5:J23" si="6">H5</f>
        <v>5.3115372740627144E-2</v>
      </c>
    </row>
    <row r="6" spans="1:10" x14ac:dyDescent="0.25">
      <c r="A6" s="59" t="s">
        <v>9</v>
      </c>
      <c r="B6" s="327">
        <f>+VLOOKUP(A6,'Indicadores Género'!$C$10:$G$27,5,0)</f>
        <v>55.381443013221968</v>
      </c>
      <c r="C6" s="327">
        <f>+VLOOKUP(A6,'Indicadores Género'!$C$36:$G$53,5,0)</f>
        <v>66.116450573991543</v>
      </c>
      <c r="D6" s="122">
        <f t="shared" si="0"/>
        <v>5.7224776133369681E-2</v>
      </c>
      <c r="E6" s="122">
        <f t="shared" si="1"/>
        <v>5.5235869319993719E-2</v>
      </c>
      <c r="F6" s="122">
        <f t="shared" si="2"/>
        <v>2.8612388066684841E-2</v>
      </c>
      <c r="G6" s="122">
        <f t="shared" si="3"/>
        <v>2.7617934659996859E-2</v>
      </c>
      <c r="H6" s="122">
        <f t="shared" si="4"/>
        <v>5.62303227266817E-2</v>
      </c>
      <c r="I6" s="328">
        <f t="shared" si="5"/>
        <v>130890.01283183947</v>
      </c>
      <c r="J6" s="258">
        <f t="shared" si="6"/>
        <v>5.62303227266817E-2</v>
      </c>
    </row>
    <row r="7" spans="1:10" x14ac:dyDescent="0.25">
      <c r="A7" s="59" t="s">
        <v>6</v>
      </c>
      <c r="B7" s="327">
        <f>+VLOOKUP(A7,'Indicadores Género'!$C$10:$G$27,5,0)</f>
        <v>55.543498160803374</v>
      </c>
      <c r="C7" s="327">
        <f>+VLOOKUP(A7,'Indicadores Género'!$C$36:$G$53,5,0)</f>
        <v>69.412343467002842</v>
      </c>
      <c r="D7" s="122">
        <f t="shared" si="0"/>
        <v>5.7392225174728029E-2</v>
      </c>
      <c r="E7" s="122">
        <f t="shared" si="1"/>
        <v>5.7989367239960433E-2</v>
      </c>
      <c r="F7" s="122">
        <f t="shared" si="2"/>
        <v>2.8696112587364014E-2</v>
      </c>
      <c r="G7" s="122">
        <f t="shared" si="3"/>
        <v>2.8994683619980217E-2</v>
      </c>
      <c r="H7" s="122">
        <f t="shared" si="4"/>
        <v>5.7690796207344228E-2</v>
      </c>
      <c r="I7" s="328">
        <f t="shared" si="5"/>
        <v>134289.62683643369</v>
      </c>
      <c r="J7" s="258">
        <f t="shared" si="6"/>
        <v>5.7690796207344228E-2</v>
      </c>
    </row>
    <row r="8" spans="1:10" x14ac:dyDescent="0.25">
      <c r="A8" s="59" t="s">
        <v>5</v>
      </c>
      <c r="B8" s="327">
        <f>+VLOOKUP(A8,'Indicadores Género'!$C$10:$G$27,5,0)</f>
        <v>48.182146559035083</v>
      </c>
      <c r="C8" s="327">
        <f>+VLOOKUP(A8,'Indicadores Género'!$C$36:$G$53,5,0)</f>
        <v>49.643287415792066</v>
      </c>
      <c r="D8" s="122">
        <f t="shared" si="0"/>
        <v>4.9785856063875471E-2</v>
      </c>
      <c r="E8" s="122">
        <f t="shared" si="1"/>
        <v>4.1473644040296451E-2</v>
      </c>
      <c r="F8" s="122">
        <f t="shared" si="2"/>
        <v>2.4892928031937735E-2</v>
      </c>
      <c r="G8" s="122">
        <f t="shared" si="3"/>
        <v>2.0736822020148225E-2</v>
      </c>
      <c r="H8" s="122">
        <f t="shared" si="4"/>
        <v>4.5629750052085957E-2</v>
      </c>
      <c r="I8" s="328">
        <f t="shared" si="5"/>
        <v>106214.55257978047</v>
      </c>
      <c r="J8" s="258">
        <f t="shared" si="6"/>
        <v>4.5629750052085957E-2</v>
      </c>
    </row>
    <row r="9" spans="1:10" x14ac:dyDescent="0.25">
      <c r="A9" s="59" t="s">
        <v>10</v>
      </c>
      <c r="B9" s="327">
        <f>+VLOOKUP(A9,'Indicadores Género'!$C$10:$G$27,5,0)</f>
        <v>44.329611908559279</v>
      </c>
      <c r="C9" s="327">
        <f>+VLOOKUP(A9,'Indicadores Género'!$C$36:$G$53,5,0)</f>
        <v>59.489479162150523</v>
      </c>
      <c r="D9" s="122">
        <f t="shared" si="0"/>
        <v>4.5805092455623267E-2</v>
      </c>
      <c r="E9" s="122">
        <f t="shared" si="1"/>
        <v>4.9699478244641923E-2</v>
      </c>
      <c r="F9" s="122">
        <f t="shared" si="2"/>
        <v>2.2902546227811633E-2</v>
      </c>
      <c r="G9" s="122">
        <f t="shared" si="3"/>
        <v>2.4849739122320962E-2</v>
      </c>
      <c r="H9" s="122">
        <f t="shared" si="4"/>
        <v>4.7752285350132595E-2</v>
      </c>
      <c r="I9" s="328">
        <f t="shared" si="5"/>
        <v>111155.27955635765</v>
      </c>
      <c r="J9" s="258">
        <f t="shared" si="6"/>
        <v>4.7752285350132595E-2</v>
      </c>
    </row>
    <row r="10" spans="1:10" x14ac:dyDescent="0.25">
      <c r="A10" s="59" t="s">
        <v>4</v>
      </c>
      <c r="B10" s="327">
        <f>+VLOOKUP(A10,'Indicadores Género'!$C$10:$G$27,5,0)</f>
        <v>65.37793641659529</v>
      </c>
      <c r="C10" s="327">
        <f>+VLOOKUP(A10,'Indicadores Género'!$C$36:$G$53,5,0)</f>
        <v>81.952289701988676</v>
      </c>
      <c r="D10" s="122">
        <f t="shared" si="0"/>
        <v>6.7553995922571858E-2</v>
      </c>
      <c r="E10" s="122">
        <f t="shared" si="1"/>
        <v>6.8465653028173895E-2</v>
      </c>
      <c r="F10" s="122">
        <f t="shared" si="2"/>
        <v>3.3776997961285929E-2</v>
      </c>
      <c r="G10" s="122">
        <f t="shared" si="3"/>
        <v>3.4232826514086948E-2</v>
      </c>
      <c r="H10" s="122">
        <f t="shared" si="4"/>
        <v>6.8009824475372876E-2</v>
      </c>
      <c r="I10" s="328">
        <f t="shared" si="5"/>
        <v>158309.7227014266</v>
      </c>
      <c r="J10" s="258">
        <f t="shared" si="6"/>
        <v>6.8009824475372876E-2</v>
      </c>
    </row>
    <row r="11" spans="1:10" x14ac:dyDescent="0.25">
      <c r="A11" s="59" t="s">
        <v>8</v>
      </c>
      <c r="B11" s="327">
        <f>+VLOOKUP(A11,'Indicadores Género'!$C$10:$G$27,5,0)</f>
        <v>48.889374368695108</v>
      </c>
      <c r="C11" s="327">
        <f>+VLOOKUP(A11,'Indicadores Género'!$C$36:$G$53,5,0)</f>
        <v>51.192649605893898</v>
      </c>
      <c r="D11" s="122">
        <f t="shared" si="0"/>
        <v>5.0516623463226662E-2</v>
      </c>
      <c r="E11" s="122">
        <f t="shared" si="1"/>
        <v>4.2768032452239861E-2</v>
      </c>
      <c r="F11" s="122">
        <f t="shared" si="2"/>
        <v>2.5258311731613331E-2</v>
      </c>
      <c r="G11" s="122">
        <f t="shared" si="3"/>
        <v>2.1384016226119931E-2</v>
      </c>
      <c r="H11" s="122">
        <f t="shared" si="4"/>
        <v>4.6642327957733265E-2</v>
      </c>
      <c r="I11" s="328">
        <f t="shared" si="5"/>
        <v>108571.5786226085</v>
      </c>
      <c r="J11" s="258">
        <f t="shared" si="6"/>
        <v>4.6642327957733265E-2</v>
      </c>
    </row>
    <row r="12" spans="1:10" x14ac:dyDescent="0.25">
      <c r="A12" s="59" t="s">
        <v>7</v>
      </c>
      <c r="B12" s="327">
        <f>+VLOOKUP(A12,'Indicadores Género'!$C$10:$G$27,5,0)</f>
        <v>58.903828225831006</v>
      </c>
      <c r="C12" s="327">
        <f>+VLOOKUP(A12,'Indicadores Género'!$C$36:$G$53,5,0)</f>
        <v>52.293975322758342</v>
      </c>
      <c r="D12" s="122">
        <f t="shared" si="0"/>
        <v>6.0864401507503052E-2</v>
      </c>
      <c r="E12" s="122">
        <f t="shared" si="1"/>
        <v>4.3688116377607188E-2</v>
      </c>
      <c r="F12" s="122">
        <f t="shared" si="2"/>
        <v>3.0432200753751526E-2</v>
      </c>
      <c r="G12" s="122">
        <f t="shared" si="3"/>
        <v>2.1844058188803594E-2</v>
      </c>
      <c r="H12" s="122">
        <f t="shared" si="4"/>
        <v>5.2276258942555123E-2</v>
      </c>
      <c r="I12" s="328">
        <f t="shared" si="5"/>
        <v>121685.94935957597</v>
      </c>
      <c r="J12" s="258">
        <f t="shared" si="6"/>
        <v>5.2276258942555123E-2</v>
      </c>
    </row>
    <row r="13" spans="1:10" x14ac:dyDescent="0.25">
      <c r="A13" s="59" t="s">
        <v>27</v>
      </c>
      <c r="B13" s="327">
        <f>+VLOOKUP(A13,'Indicadores Género'!$C$10:$G$27,5,0)</f>
        <v>42.142359077343599</v>
      </c>
      <c r="C13" s="327">
        <f>+VLOOKUP(A13,'Indicadores Género'!$C$36:$G$53,5,0)</f>
        <v>89.792004894957259</v>
      </c>
      <c r="D13" s="122">
        <f t="shared" si="0"/>
        <v>4.3545038423020432E-2</v>
      </c>
      <c r="E13" s="122">
        <f t="shared" si="1"/>
        <v>7.5015210364440296E-2</v>
      </c>
      <c r="F13" s="122">
        <f t="shared" si="2"/>
        <v>2.1772519211510216E-2</v>
      </c>
      <c r="G13" s="122">
        <f t="shared" si="3"/>
        <v>3.7507605182220148E-2</v>
      </c>
      <c r="H13" s="122">
        <f t="shared" si="4"/>
        <v>5.9280124393730364E-2</v>
      </c>
      <c r="I13" s="328">
        <f t="shared" si="5"/>
        <v>137989.1821052384</v>
      </c>
      <c r="J13" s="258">
        <f t="shared" si="6"/>
        <v>5.9280124393730364E-2</v>
      </c>
    </row>
    <row r="14" spans="1:10" x14ac:dyDescent="0.25">
      <c r="A14" s="59" t="s">
        <v>23</v>
      </c>
      <c r="B14" s="327">
        <f>+VLOOKUP(A14,'Indicadores Género'!$C$10:$G$27,5,0)</f>
        <v>48.176948110002506</v>
      </c>
      <c r="C14" s="327">
        <f>+VLOOKUP(A14,'Indicadores Género'!$C$36:$G$53,5,0)</f>
        <v>57.785941777055349</v>
      </c>
      <c r="D14" s="122">
        <f t="shared" si="0"/>
        <v>4.9780484588053529E-2</v>
      </c>
      <c r="E14" s="122">
        <f t="shared" si="1"/>
        <v>4.8276286776135352E-2</v>
      </c>
      <c r="F14" s="122">
        <f t="shared" si="2"/>
        <v>2.4890242294026765E-2</v>
      </c>
      <c r="G14" s="122">
        <f t="shared" si="3"/>
        <v>2.4138143388067676E-2</v>
      </c>
      <c r="H14" s="122">
        <f t="shared" si="4"/>
        <v>4.9028385682094444E-2</v>
      </c>
      <c r="I14" s="328">
        <f t="shared" si="5"/>
        <v>114125.71936046613</v>
      </c>
      <c r="J14" s="258">
        <f t="shared" si="6"/>
        <v>4.9028385682094444E-2</v>
      </c>
    </row>
    <row r="15" spans="1:10" x14ac:dyDescent="0.25">
      <c r="A15" s="59" t="s">
        <v>24</v>
      </c>
      <c r="B15" s="327">
        <f>+VLOOKUP(A15,'Indicadores Género'!$C$10:$G$27,5,0)</f>
        <v>49.97711175122938</v>
      </c>
      <c r="C15" s="327">
        <f>+VLOOKUP(A15,'Indicadores Género'!$C$36:$G$53,5,0)</f>
        <v>47.276200823996</v>
      </c>
      <c r="D15" s="122">
        <f t="shared" si="0"/>
        <v>5.1640565434051808E-2</v>
      </c>
      <c r="E15" s="122">
        <f t="shared" si="1"/>
        <v>3.9496101620543664E-2</v>
      </c>
      <c r="F15" s="122">
        <f t="shared" si="2"/>
        <v>2.5820282717025904E-2</v>
      </c>
      <c r="G15" s="122">
        <f t="shared" si="3"/>
        <v>1.9748050810271832E-2</v>
      </c>
      <c r="H15" s="122">
        <f t="shared" si="4"/>
        <v>4.5568333527297736E-2</v>
      </c>
      <c r="I15" s="328">
        <f t="shared" si="5"/>
        <v>106071.59039625022</v>
      </c>
      <c r="J15" s="258">
        <f t="shared" si="6"/>
        <v>4.5568333527297736E-2</v>
      </c>
    </row>
    <row r="16" spans="1:10" x14ac:dyDescent="0.25">
      <c r="A16" s="59" t="s">
        <v>25</v>
      </c>
      <c r="B16" s="327">
        <f>+VLOOKUP(A16,'Indicadores Género'!$C$10:$G$27,5,0)</f>
        <v>38.486198880104403</v>
      </c>
      <c r="C16" s="327">
        <f>+VLOOKUP(A16,'Indicadores Género'!$C$36:$G$53,5,0)</f>
        <v>70.469348959092216</v>
      </c>
      <c r="D16" s="122">
        <f t="shared" si="0"/>
        <v>3.9767185456191831E-2</v>
      </c>
      <c r="E16" s="122">
        <f t="shared" si="1"/>
        <v>5.8872424583854381E-2</v>
      </c>
      <c r="F16" s="122">
        <f t="shared" si="2"/>
        <v>1.9883592728095915E-2</v>
      </c>
      <c r="G16" s="122">
        <f t="shared" si="3"/>
        <v>2.9436212291927191E-2</v>
      </c>
      <c r="H16" s="122">
        <f t="shared" si="4"/>
        <v>4.9319805020023103E-2</v>
      </c>
      <c r="I16" s="328">
        <f t="shared" si="5"/>
        <v>114804.07009777799</v>
      </c>
      <c r="J16" s="258">
        <f t="shared" si="6"/>
        <v>4.9319805020023103E-2</v>
      </c>
    </row>
    <row r="17" spans="1:10" x14ac:dyDescent="0.25">
      <c r="A17" s="59" t="s">
        <v>26</v>
      </c>
      <c r="B17" s="327">
        <f>+VLOOKUP(A17,'Indicadores Género'!$C$10:$G$27,5,0)</f>
        <v>46.518206824539668</v>
      </c>
      <c r="C17" s="327">
        <f>+VLOOKUP(A17,'Indicadores Género'!$C$36:$G$53,5,0)</f>
        <v>69.529204906089717</v>
      </c>
      <c r="D17" s="122">
        <f t="shared" si="0"/>
        <v>4.8066533243356226E-2</v>
      </c>
      <c r="E17" s="122">
        <f t="shared" si="1"/>
        <v>5.8086997150851152E-2</v>
      </c>
      <c r="F17" s="122">
        <f t="shared" si="2"/>
        <v>2.4033266621678113E-2</v>
      </c>
      <c r="G17" s="122">
        <f t="shared" si="3"/>
        <v>2.9043498575425576E-2</v>
      </c>
      <c r="H17" s="122">
        <f t="shared" si="4"/>
        <v>5.3076765197103692E-2</v>
      </c>
      <c r="I17" s="328">
        <f t="shared" si="5"/>
        <v>123549.32607251295</v>
      </c>
      <c r="J17" s="258">
        <f t="shared" si="6"/>
        <v>5.3076765197103692E-2</v>
      </c>
    </row>
    <row r="18" spans="1:10" x14ac:dyDescent="0.25">
      <c r="A18" s="59" t="s">
        <v>28</v>
      </c>
      <c r="B18" s="327">
        <f>+VLOOKUP(A18,'Indicadores Género'!$C$10:$G$27,5,0)</f>
        <v>76.485303314571595</v>
      </c>
      <c r="C18" s="327">
        <f>+VLOOKUP(A18,'Indicadores Género'!$C$36:$G$53,5,0)</f>
        <v>91.875319871679324</v>
      </c>
      <c r="D18" s="122">
        <f t="shared" si="0"/>
        <v>7.9031063864195297E-2</v>
      </c>
      <c r="E18" s="122">
        <f t="shared" si="1"/>
        <v>7.6755680592463599E-2</v>
      </c>
      <c r="F18" s="122">
        <f t="shared" si="2"/>
        <v>3.9515531932097649E-2</v>
      </c>
      <c r="G18" s="122">
        <f t="shared" si="3"/>
        <v>3.8377840296231799E-2</v>
      </c>
      <c r="H18" s="122">
        <f t="shared" si="4"/>
        <v>7.7893372228329455E-2</v>
      </c>
      <c r="I18" s="328">
        <f t="shared" si="5"/>
        <v>181316.12973374361</v>
      </c>
      <c r="J18" s="266">
        <f t="shared" si="6"/>
        <v>7.7893372228329455E-2</v>
      </c>
    </row>
    <row r="19" spans="1:10" x14ac:dyDescent="0.25">
      <c r="A19" s="59" t="s">
        <v>29</v>
      </c>
      <c r="B19" s="327">
        <f>+VLOOKUP(A19,'Indicadores Género'!$C$10:$G$27,5,0)</f>
        <v>45.903779107388516</v>
      </c>
      <c r="C19" s="327">
        <f>+VLOOKUP(A19,'Indicadores Género'!$C$36:$G$53,5,0)</f>
        <v>60.426931779971255</v>
      </c>
      <c r="D19" s="122">
        <f t="shared" si="0"/>
        <v>4.743165472356544E-2</v>
      </c>
      <c r="E19" s="122">
        <f t="shared" si="1"/>
        <v>5.0482657163686939E-2</v>
      </c>
      <c r="F19" s="122">
        <f t="shared" si="2"/>
        <v>2.371582736178272E-2</v>
      </c>
      <c r="G19" s="122">
        <f t="shared" si="3"/>
        <v>2.524132858184347E-2</v>
      </c>
      <c r="H19" s="122">
        <f t="shared" si="4"/>
        <v>4.8957155943626193E-2</v>
      </c>
      <c r="I19" s="328">
        <f t="shared" si="5"/>
        <v>113959.91448989059</v>
      </c>
      <c r="J19" s="258">
        <f t="shared" si="6"/>
        <v>4.8957155943626193E-2</v>
      </c>
    </row>
    <row r="20" spans="1:10" x14ac:dyDescent="0.25">
      <c r="A20" s="59" t="s">
        <v>89</v>
      </c>
      <c r="B20" s="327">
        <f>+VLOOKUP(A20,'Indicadores Género'!$C$10:$G$27,5,0)</f>
        <v>58.632670500473459</v>
      </c>
      <c r="C20" s="327">
        <f>+VLOOKUP(A20,'Indicadores Género'!$C$36:$G$53,5,0)</f>
        <v>76.763186736033887</v>
      </c>
      <c r="D20" s="122">
        <f t="shared" si="0"/>
        <v>6.0584218484342839E-2</v>
      </c>
      <c r="E20" s="122">
        <f t="shared" si="1"/>
        <v>6.4130504803683125E-2</v>
      </c>
      <c r="F20" s="122">
        <f t="shared" si="2"/>
        <v>3.0292109242171419E-2</v>
      </c>
      <c r="G20" s="122">
        <f t="shared" si="3"/>
        <v>3.2065252401841562E-2</v>
      </c>
      <c r="H20" s="122">
        <f t="shared" si="4"/>
        <v>6.2357361644012982E-2</v>
      </c>
      <c r="I20" s="328">
        <f t="shared" si="5"/>
        <v>145152.21449852368</v>
      </c>
      <c r="J20" s="258">
        <f t="shared" si="6"/>
        <v>6.2357361644012982E-2</v>
      </c>
    </row>
    <row r="21" spans="1:10" x14ac:dyDescent="0.25">
      <c r="A21" s="59" t="s">
        <v>91</v>
      </c>
      <c r="B21" s="327">
        <f>+VLOOKUP(A21,'Indicadores Género'!$C$10:$G$27,5,0)</f>
        <v>52.808302808302813</v>
      </c>
      <c r="C21" s="327">
        <f>+VLOOKUP(A21,'Indicadores Género'!$C$36:$G$53,5,0)</f>
        <v>75.236430313474855</v>
      </c>
      <c r="D21" s="122">
        <f t="shared" si="0"/>
        <v>5.4565990732073487E-2</v>
      </c>
      <c r="E21" s="122">
        <f t="shared" si="1"/>
        <v>6.285500199753119E-2</v>
      </c>
      <c r="F21" s="122">
        <f t="shared" si="2"/>
        <v>2.7282995366036743E-2</v>
      </c>
      <c r="G21" s="122">
        <f t="shared" si="3"/>
        <v>3.1427500998765595E-2</v>
      </c>
      <c r="H21" s="122">
        <f t="shared" si="4"/>
        <v>5.8710496364802342E-2</v>
      </c>
      <c r="I21" s="328">
        <f t="shared" si="5"/>
        <v>136663.23168560147</v>
      </c>
      <c r="J21" s="258">
        <f t="shared" si="6"/>
        <v>5.8710496364802342E-2</v>
      </c>
    </row>
    <row r="22" spans="1:10" x14ac:dyDescent="0.25">
      <c r="B22" s="295">
        <f>SUM(B4:B21)</f>
        <v>967.78784916778727</v>
      </c>
      <c r="C22" s="295">
        <f>SUM(C4:C21)</f>
        <v>1196.9839777656832</v>
      </c>
      <c r="D22">
        <f t="shared" ref="D22:I22" si="7">SUM(D4:D21)</f>
        <v>1</v>
      </c>
      <c r="E22">
        <f t="shared" si="7"/>
        <v>1</v>
      </c>
      <c r="F22">
        <f>SUM(F4:F21)</f>
        <v>0.5</v>
      </c>
      <c r="G22">
        <f>SUM(G4:G21)</f>
        <v>0.5</v>
      </c>
      <c r="H22">
        <f t="shared" si="7"/>
        <v>0.99999999999999989</v>
      </c>
      <c r="I22" s="242">
        <f t="shared" si="7"/>
        <v>2327747.85</v>
      </c>
      <c r="J22" s="258">
        <f t="shared" si="6"/>
        <v>0.99999999999999989</v>
      </c>
    </row>
    <row r="23" spans="1:10" x14ac:dyDescent="0.25">
      <c r="B23" s="240" t="s">
        <v>316</v>
      </c>
      <c r="C23" s="240" t="s">
        <v>322</v>
      </c>
      <c r="J23" s="258">
        <f t="shared" si="6"/>
        <v>0</v>
      </c>
    </row>
    <row r="25" spans="1:10" x14ac:dyDescent="0.25">
      <c r="A25" s="481" t="s">
        <v>261</v>
      </c>
      <c r="B25" s="481"/>
      <c r="C25">
        <f>+Refuerzo!B33</f>
        <v>2327747.85</v>
      </c>
    </row>
    <row r="26" spans="1:10" x14ac:dyDescent="0.25">
      <c r="C26" s="262"/>
    </row>
  </sheetData>
  <mergeCells count="2">
    <mergeCell ref="B2:C2"/>
    <mergeCell ref="A25:B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2B99-FC8C-40D2-AAE7-27FB41CBB635}">
  <sheetPr>
    <tabColor theme="9" tint="0.59999389629810485"/>
  </sheetPr>
  <dimension ref="A1:G53"/>
  <sheetViews>
    <sheetView topLeftCell="A9" zoomScale="90" zoomScaleNormal="90" workbookViewId="0">
      <selection activeCell="O30" sqref="O30"/>
    </sheetView>
  </sheetViews>
  <sheetFormatPr baseColWidth="10" defaultRowHeight="15" x14ac:dyDescent="0.25"/>
  <cols>
    <col min="1" max="1" width="9.42578125" customWidth="1"/>
    <col min="2" max="2" width="55.140625" bestFit="1" customWidth="1"/>
    <col min="3" max="3" width="6.85546875" bestFit="1" customWidth="1"/>
  </cols>
  <sheetData>
    <row r="1" spans="1:7" ht="15.75" x14ac:dyDescent="0.25">
      <c r="A1" s="125" t="s">
        <v>278</v>
      </c>
    </row>
    <row r="2" spans="1:7" ht="15.75" x14ac:dyDescent="0.25">
      <c r="A2" s="125" t="s">
        <v>279</v>
      </c>
    </row>
    <row r="5" spans="1:7" ht="15.75" x14ac:dyDescent="0.25">
      <c r="A5" s="482" t="s">
        <v>269</v>
      </c>
      <c r="B5" s="482"/>
      <c r="C5" s="482"/>
    </row>
    <row r="7" spans="1:7" x14ac:dyDescent="0.25">
      <c r="B7" s="16" t="s">
        <v>263</v>
      </c>
    </row>
    <row r="9" spans="1:7" s="124" customFormat="1" ht="90" x14ac:dyDescent="0.25">
      <c r="A9" s="105" t="s">
        <v>268</v>
      </c>
      <c r="B9" s="105" t="s">
        <v>264</v>
      </c>
      <c r="C9" s="123" t="s">
        <v>266</v>
      </c>
      <c r="D9" s="290" t="s">
        <v>403</v>
      </c>
      <c r="E9" s="290" t="s">
        <v>404</v>
      </c>
      <c r="F9" s="290" t="s">
        <v>405</v>
      </c>
      <c r="G9" s="290" t="s">
        <v>406</v>
      </c>
    </row>
    <row r="10" spans="1:7" x14ac:dyDescent="0.25">
      <c r="A10" s="122">
        <v>70</v>
      </c>
      <c r="B10" s="122" t="s">
        <v>12</v>
      </c>
      <c r="C10" s="122" t="s">
        <v>2</v>
      </c>
      <c r="D10" s="291">
        <v>77.431720172496412</v>
      </c>
      <c r="E10" s="291">
        <v>75.309818875119163</v>
      </c>
      <c r="F10" s="291">
        <v>75.035936751317678</v>
      </c>
      <c r="G10" s="292">
        <f>AVERAGE(D10:F10)</f>
        <v>75.92582526631108</v>
      </c>
    </row>
    <row r="11" spans="1:7" x14ac:dyDescent="0.25">
      <c r="A11" s="122">
        <v>71</v>
      </c>
      <c r="B11" s="122" t="s">
        <v>13</v>
      </c>
      <c r="C11" s="122" t="s">
        <v>3</v>
      </c>
      <c r="D11" s="291">
        <v>53.043091959129278</v>
      </c>
      <c r="E11" s="291">
        <v>55.922643029814665</v>
      </c>
      <c r="F11" s="291">
        <v>59.404179635393511</v>
      </c>
      <c r="G11" s="292">
        <f t="shared" ref="G11:G27" si="0">AVERAGE(D11:F11)</f>
        <v>56.123304874779159</v>
      </c>
    </row>
    <row r="12" spans="1:7" x14ac:dyDescent="0.25">
      <c r="A12" s="122">
        <v>72</v>
      </c>
      <c r="B12" s="122" t="s">
        <v>118</v>
      </c>
      <c r="C12" s="122" t="s">
        <v>4</v>
      </c>
      <c r="D12" s="291">
        <v>66.843501326259954</v>
      </c>
      <c r="E12" s="291">
        <v>67.929292929292927</v>
      </c>
      <c r="F12" s="291">
        <v>61.361014994232988</v>
      </c>
      <c r="G12" s="292">
        <f t="shared" si="0"/>
        <v>65.37793641659529</v>
      </c>
    </row>
    <row r="13" spans="1:7" x14ac:dyDescent="0.25">
      <c r="A13" s="122">
        <v>73</v>
      </c>
      <c r="B13" s="122" t="s">
        <v>19</v>
      </c>
      <c r="C13" s="122" t="s">
        <v>9</v>
      </c>
      <c r="D13" s="291">
        <v>48.743718592964825</v>
      </c>
      <c r="E13" s="291">
        <v>57.964601769911503</v>
      </c>
      <c r="F13" s="291">
        <v>59.436008676789591</v>
      </c>
      <c r="G13" s="292">
        <f t="shared" si="0"/>
        <v>55.381443013221968</v>
      </c>
    </row>
    <row r="14" spans="1:7" x14ac:dyDescent="0.25">
      <c r="A14" s="122">
        <v>74</v>
      </c>
      <c r="B14" s="122" t="s">
        <v>17</v>
      </c>
      <c r="C14" s="122" t="s">
        <v>7</v>
      </c>
      <c r="D14" s="291">
        <v>59.191176470588232</v>
      </c>
      <c r="E14" s="291">
        <v>60.227272727272727</v>
      </c>
      <c r="F14" s="291">
        <v>57.29303547963206</v>
      </c>
      <c r="G14" s="292">
        <f t="shared" si="0"/>
        <v>58.903828225831006</v>
      </c>
    </row>
    <row r="15" spans="1:7" x14ac:dyDescent="0.25">
      <c r="A15" s="122">
        <v>75</v>
      </c>
      <c r="B15" s="122" t="s">
        <v>119</v>
      </c>
      <c r="C15" s="122" t="s">
        <v>8</v>
      </c>
      <c r="D15" s="291">
        <v>49.814814814814817</v>
      </c>
      <c r="E15" s="291">
        <v>47.329498767460969</v>
      </c>
      <c r="F15" s="291">
        <v>49.523809523809526</v>
      </c>
      <c r="G15" s="292">
        <f t="shared" si="0"/>
        <v>48.889374368695108</v>
      </c>
    </row>
    <row r="16" spans="1:7" x14ac:dyDescent="0.25">
      <c r="A16" s="122">
        <v>76</v>
      </c>
      <c r="B16" s="122" t="s">
        <v>16</v>
      </c>
      <c r="C16" s="122" t="s">
        <v>6</v>
      </c>
      <c r="D16" s="291">
        <v>53.465346534653463</v>
      </c>
      <c r="E16" s="291">
        <v>53.235653235653238</v>
      </c>
      <c r="F16" s="291">
        <v>59.929494712103406</v>
      </c>
      <c r="G16" s="292">
        <f t="shared" si="0"/>
        <v>55.543498160803374</v>
      </c>
    </row>
    <row r="17" spans="1:7" x14ac:dyDescent="0.25">
      <c r="A17" s="122">
        <v>77</v>
      </c>
      <c r="B17" s="122" t="s">
        <v>33</v>
      </c>
      <c r="C17" s="122" t="s">
        <v>26</v>
      </c>
      <c r="D17" s="291">
        <v>41.777777777777779</v>
      </c>
      <c r="E17" s="291">
        <v>48.979591836734691</v>
      </c>
      <c r="F17" s="291">
        <v>48.797250859106526</v>
      </c>
      <c r="G17" s="292">
        <f t="shared" si="0"/>
        <v>46.518206824539668</v>
      </c>
    </row>
    <row r="18" spans="1:7" x14ac:dyDescent="0.25">
      <c r="A18" s="122">
        <v>78</v>
      </c>
      <c r="B18" s="122" t="s">
        <v>15</v>
      </c>
      <c r="C18" s="122" t="s">
        <v>5</v>
      </c>
      <c r="D18" s="291">
        <v>49.050632911392405</v>
      </c>
      <c r="E18" s="291">
        <v>47.394540942928039</v>
      </c>
      <c r="F18" s="291">
        <v>48.101265822784811</v>
      </c>
      <c r="G18" s="292">
        <f t="shared" si="0"/>
        <v>48.182146559035083</v>
      </c>
    </row>
    <row r="19" spans="1:7" x14ac:dyDescent="0.25">
      <c r="A19" s="122">
        <v>79</v>
      </c>
      <c r="B19" s="122" t="s">
        <v>31</v>
      </c>
      <c r="C19" s="122" t="s">
        <v>24</v>
      </c>
      <c r="D19" s="291">
        <v>42.930591259640103</v>
      </c>
      <c r="E19" s="291">
        <v>51.186790505675951</v>
      </c>
      <c r="F19" s="291">
        <v>55.813953488372093</v>
      </c>
      <c r="G19" s="292">
        <f t="shared" si="0"/>
        <v>49.97711175122938</v>
      </c>
    </row>
    <row r="20" spans="1:7" x14ac:dyDescent="0.25">
      <c r="A20" s="122">
        <v>80</v>
      </c>
      <c r="B20" s="122" t="s">
        <v>117</v>
      </c>
      <c r="C20" s="122" t="s">
        <v>10</v>
      </c>
      <c r="D20" s="291">
        <v>46.060606060606062</v>
      </c>
      <c r="E20" s="291">
        <v>37.454545454545453</v>
      </c>
      <c r="F20" s="291">
        <v>49.473684210526315</v>
      </c>
      <c r="G20" s="292">
        <f t="shared" si="0"/>
        <v>44.329611908559279</v>
      </c>
    </row>
    <row r="21" spans="1:7" x14ac:dyDescent="0.25">
      <c r="A21" s="122">
        <v>81</v>
      </c>
      <c r="B21" s="122" t="s">
        <v>30</v>
      </c>
      <c r="C21" s="122" t="s">
        <v>23</v>
      </c>
      <c r="D21" s="291">
        <v>44.307692307692307</v>
      </c>
      <c r="E21" s="291">
        <v>46.666666666666664</v>
      </c>
      <c r="F21" s="291">
        <v>53.556485355648533</v>
      </c>
      <c r="G21" s="292">
        <f t="shared" si="0"/>
        <v>48.176948110002506</v>
      </c>
    </row>
    <row r="22" spans="1:7" x14ac:dyDescent="0.25">
      <c r="A22" s="122">
        <v>82</v>
      </c>
      <c r="B22" s="122" t="s">
        <v>121</v>
      </c>
      <c r="C22" s="122" t="s">
        <v>28</v>
      </c>
      <c r="D22" s="291">
        <v>75.609756097560975</v>
      </c>
      <c r="E22" s="291">
        <v>73.84615384615384</v>
      </c>
      <c r="F22" s="291">
        <v>80</v>
      </c>
      <c r="G22" s="292">
        <f t="shared" si="0"/>
        <v>76.485303314571595</v>
      </c>
    </row>
    <row r="23" spans="1:7" x14ac:dyDescent="0.25">
      <c r="A23" s="122">
        <v>83</v>
      </c>
      <c r="B23" s="122" t="s">
        <v>120</v>
      </c>
      <c r="C23" s="122" t="s">
        <v>27</v>
      </c>
      <c r="D23" s="291">
        <v>44.705882352941174</v>
      </c>
      <c r="E23" s="291">
        <v>42.982456140350877</v>
      </c>
      <c r="F23" s="291">
        <v>38.738738738738739</v>
      </c>
      <c r="G23" s="292">
        <f t="shared" si="0"/>
        <v>42.142359077343599</v>
      </c>
    </row>
    <row r="24" spans="1:7" x14ac:dyDescent="0.25">
      <c r="A24" s="122">
        <v>84</v>
      </c>
      <c r="B24" s="122" t="s">
        <v>32</v>
      </c>
      <c r="C24" s="122" t="s">
        <v>25</v>
      </c>
      <c r="D24" s="291">
        <v>33.770014556040756</v>
      </c>
      <c r="E24" s="291">
        <v>35.889570552147241</v>
      </c>
      <c r="F24" s="291">
        <v>45.799011532125206</v>
      </c>
      <c r="G24" s="292">
        <f t="shared" si="0"/>
        <v>38.486198880104403</v>
      </c>
    </row>
    <row r="25" spans="1:7" x14ac:dyDescent="0.25">
      <c r="A25" s="122">
        <v>85</v>
      </c>
      <c r="B25" s="122" t="s">
        <v>122</v>
      </c>
      <c r="C25" s="122" t="s">
        <v>29</v>
      </c>
      <c r="D25" s="291">
        <v>45.785639958376692</v>
      </c>
      <c r="E25" s="291">
        <v>45.414069456812108</v>
      </c>
      <c r="F25" s="291">
        <v>46.511627906976742</v>
      </c>
      <c r="G25" s="292">
        <f t="shared" si="0"/>
        <v>45.903779107388516</v>
      </c>
    </row>
    <row r="26" spans="1:7" x14ac:dyDescent="0.25">
      <c r="A26" s="122">
        <v>895</v>
      </c>
      <c r="B26" s="122" t="s">
        <v>126</v>
      </c>
      <c r="C26" s="122" t="s">
        <v>89</v>
      </c>
      <c r="D26" s="291">
        <v>46.64310954063604</v>
      </c>
      <c r="E26" s="291">
        <v>66.666666666666671</v>
      </c>
      <c r="F26" s="291">
        <v>62.588235294117645</v>
      </c>
      <c r="G26" s="292">
        <f t="shared" si="0"/>
        <v>58.632670500473459</v>
      </c>
    </row>
    <row r="27" spans="1:7" x14ac:dyDescent="0.25">
      <c r="A27" s="122">
        <v>896</v>
      </c>
      <c r="B27" s="122" t="s">
        <v>265</v>
      </c>
      <c r="C27" s="122" t="s">
        <v>91</v>
      </c>
      <c r="D27" s="291">
        <v>57.142857142857146</v>
      </c>
      <c r="E27" s="291">
        <v>51.282051282051285</v>
      </c>
      <c r="F27" s="291">
        <v>50.000000000000007</v>
      </c>
      <c r="G27" s="292">
        <f t="shared" si="0"/>
        <v>52.808302808302813</v>
      </c>
    </row>
    <row r="28" spans="1:7" x14ac:dyDescent="0.25">
      <c r="A28" s="483" t="s">
        <v>0</v>
      </c>
      <c r="B28" s="484"/>
      <c r="C28" s="485"/>
      <c r="G28" s="294">
        <f>SUM(G10:G27)</f>
        <v>967.78784916778727</v>
      </c>
    </row>
    <row r="31" spans="1:7" ht="15.75" x14ac:dyDescent="0.25">
      <c r="A31" s="482" t="s">
        <v>270</v>
      </c>
      <c r="B31" s="482"/>
      <c r="C31" s="482"/>
    </row>
    <row r="33" spans="1:7" x14ac:dyDescent="0.25">
      <c r="B33" s="16" t="s">
        <v>267</v>
      </c>
    </row>
    <row r="35" spans="1:7" ht="90" x14ac:dyDescent="0.25">
      <c r="A35" s="105" t="s">
        <v>268</v>
      </c>
      <c r="B35" s="105" t="s">
        <v>264</v>
      </c>
      <c r="C35" s="123" t="s">
        <v>266</v>
      </c>
      <c r="D35" s="290" t="s">
        <v>407</v>
      </c>
      <c r="E35" s="290" t="s">
        <v>408</v>
      </c>
      <c r="F35" s="290" t="s">
        <v>409</v>
      </c>
      <c r="G35" s="290" t="s">
        <v>406</v>
      </c>
    </row>
    <row r="36" spans="1:7" x14ac:dyDescent="0.25">
      <c r="A36" s="122">
        <v>70</v>
      </c>
      <c r="B36" s="122" t="s">
        <v>12</v>
      </c>
      <c r="C36" s="122" t="s">
        <v>2</v>
      </c>
      <c r="D36" s="291">
        <v>68.883040683360875</v>
      </c>
      <c r="E36" s="291">
        <v>68.950279998941795</v>
      </c>
      <c r="F36" s="291">
        <v>72.128055670723313</v>
      </c>
      <c r="G36" s="292">
        <f>AVERAGE(D36:F36)</f>
        <v>69.987125451008652</v>
      </c>
    </row>
    <row r="37" spans="1:7" x14ac:dyDescent="0.25">
      <c r="A37" s="122">
        <v>71</v>
      </c>
      <c r="B37" s="122" t="s">
        <v>13</v>
      </c>
      <c r="C37" s="122" t="s">
        <v>3</v>
      </c>
      <c r="D37" s="291">
        <v>58.134612671081264</v>
      </c>
      <c r="E37" s="291">
        <v>58.639835728981417</v>
      </c>
      <c r="F37" s="291">
        <v>56.45097260817785</v>
      </c>
      <c r="G37" s="292">
        <f t="shared" ref="G37:G53" si="1">AVERAGE(D37:F37)</f>
        <v>57.741807002746839</v>
      </c>
    </row>
    <row r="38" spans="1:7" x14ac:dyDescent="0.25">
      <c r="A38" s="122">
        <v>72</v>
      </c>
      <c r="B38" s="122" t="s">
        <v>14</v>
      </c>
      <c r="C38" s="122" t="s">
        <v>4</v>
      </c>
      <c r="D38" s="291">
        <v>80.864675817656504</v>
      </c>
      <c r="E38" s="291">
        <v>82.016040500750663</v>
      </c>
      <c r="F38" s="291">
        <v>82.97615278755886</v>
      </c>
      <c r="G38" s="292">
        <f t="shared" si="1"/>
        <v>81.952289701988676</v>
      </c>
    </row>
    <row r="39" spans="1:7" x14ac:dyDescent="0.25">
      <c r="A39" s="122">
        <v>73</v>
      </c>
      <c r="B39" s="122" t="s">
        <v>19</v>
      </c>
      <c r="C39" s="122" t="s">
        <v>9</v>
      </c>
      <c r="D39" s="291">
        <v>62.240184757503968</v>
      </c>
      <c r="E39" s="291">
        <v>63.463427054156739</v>
      </c>
      <c r="F39" s="291">
        <v>72.645739910313907</v>
      </c>
      <c r="G39" s="292">
        <f t="shared" si="1"/>
        <v>66.116450573991543</v>
      </c>
    </row>
    <row r="40" spans="1:7" x14ac:dyDescent="0.25">
      <c r="A40" s="122">
        <v>74</v>
      </c>
      <c r="B40" s="122" t="s">
        <v>17</v>
      </c>
      <c r="C40" s="122" t="s">
        <v>7</v>
      </c>
      <c r="D40" s="291">
        <v>50.766464799280001</v>
      </c>
      <c r="E40" s="291">
        <v>52.505811250620283</v>
      </c>
      <c r="F40" s="291">
        <v>53.60964991837475</v>
      </c>
      <c r="G40" s="292">
        <f t="shared" si="1"/>
        <v>52.293975322758342</v>
      </c>
    </row>
    <row r="41" spans="1:7" x14ac:dyDescent="0.25">
      <c r="A41" s="122">
        <v>75</v>
      </c>
      <c r="B41" s="122" t="s">
        <v>18</v>
      </c>
      <c r="C41" s="122" t="s">
        <v>8</v>
      </c>
      <c r="D41" s="291">
        <v>50.198273851200049</v>
      </c>
      <c r="E41" s="291">
        <v>52.341099298825846</v>
      </c>
      <c r="F41" s="291">
        <v>51.038575667655792</v>
      </c>
      <c r="G41" s="292">
        <f t="shared" si="1"/>
        <v>51.192649605893898</v>
      </c>
    </row>
    <row r="42" spans="1:7" x14ac:dyDescent="0.25">
      <c r="A42" s="122">
        <v>76</v>
      </c>
      <c r="B42" s="122" t="s">
        <v>16</v>
      </c>
      <c r="C42" s="122" t="s">
        <v>6</v>
      </c>
      <c r="D42" s="291">
        <v>70.669708326544196</v>
      </c>
      <c r="E42" s="291">
        <v>69.243697478995074</v>
      </c>
      <c r="F42" s="291">
        <v>68.323624595469255</v>
      </c>
      <c r="G42" s="292">
        <f t="shared" si="1"/>
        <v>69.412343467002842</v>
      </c>
    </row>
    <row r="43" spans="1:7" x14ac:dyDescent="0.25">
      <c r="A43" s="122">
        <v>77</v>
      </c>
      <c r="B43" s="122" t="s">
        <v>33</v>
      </c>
      <c r="C43" s="122" t="s">
        <v>26</v>
      </c>
      <c r="D43" s="291">
        <v>72.197419780345868</v>
      </c>
      <c r="E43" s="291">
        <v>69.327875045074364</v>
      </c>
      <c r="F43" s="291">
        <v>67.062319892848919</v>
      </c>
      <c r="G43" s="292">
        <f t="shared" si="1"/>
        <v>69.529204906089717</v>
      </c>
    </row>
    <row r="44" spans="1:7" x14ac:dyDescent="0.25">
      <c r="A44" s="122">
        <v>78</v>
      </c>
      <c r="B44" s="122" t="s">
        <v>15</v>
      </c>
      <c r="C44" s="122" t="s">
        <v>5</v>
      </c>
      <c r="D44" s="291">
        <v>47.281399046116434</v>
      </c>
      <c r="E44" s="291">
        <v>51.254740579356636</v>
      </c>
      <c r="F44" s="291">
        <v>50.393722621903137</v>
      </c>
      <c r="G44" s="292">
        <f t="shared" si="1"/>
        <v>49.643287415792066</v>
      </c>
    </row>
    <row r="45" spans="1:7" x14ac:dyDescent="0.25">
      <c r="A45" s="122">
        <v>79</v>
      </c>
      <c r="B45" s="122" t="s">
        <v>31</v>
      </c>
      <c r="C45" s="122" t="s">
        <v>24</v>
      </c>
      <c r="D45" s="291">
        <v>48.780487804878049</v>
      </c>
      <c r="E45" s="291">
        <v>46.700507614213208</v>
      </c>
      <c r="F45" s="291">
        <v>46.347607052896734</v>
      </c>
      <c r="G45" s="292">
        <f t="shared" si="1"/>
        <v>47.276200823996</v>
      </c>
    </row>
    <row r="46" spans="1:7" x14ac:dyDescent="0.25">
      <c r="A46" s="122">
        <v>80</v>
      </c>
      <c r="B46" s="122" t="s">
        <v>20</v>
      </c>
      <c r="C46" s="122" t="s">
        <v>10</v>
      </c>
      <c r="D46" s="291">
        <v>57.317383558159364</v>
      </c>
      <c r="E46" s="291">
        <v>62.345611542251774</v>
      </c>
      <c r="F46" s="291">
        <v>58.805442386040433</v>
      </c>
      <c r="G46" s="292">
        <f t="shared" si="1"/>
        <v>59.489479162150523</v>
      </c>
    </row>
    <row r="47" spans="1:7" x14ac:dyDescent="0.25">
      <c r="A47" s="122">
        <v>81</v>
      </c>
      <c r="B47" s="122" t="s">
        <v>30</v>
      </c>
      <c r="C47" s="122" t="s">
        <v>23</v>
      </c>
      <c r="D47" s="291">
        <v>59.115661075872758</v>
      </c>
      <c r="E47" s="291">
        <v>57.412605256485193</v>
      </c>
      <c r="F47" s="291">
        <v>56.829558998808103</v>
      </c>
      <c r="G47" s="292">
        <f t="shared" si="1"/>
        <v>57.785941777055349</v>
      </c>
    </row>
    <row r="48" spans="1:7" x14ac:dyDescent="0.25">
      <c r="A48" s="122">
        <v>82</v>
      </c>
      <c r="B48" s="122" t="s">
        <v>110</v>
      </c>
      <c r="C48" s="122" t="s">
        <v>28</v>
      </c>
      <c r="D48" s="291">
        <v>88.829252225517877</v>
      </c>
      <c r="E48" s="291">
        <v>94.063566948834591</v>
      </c>
      <c r="F48" s="293">
        <v>92.733140440685503</v>
      </c>
      <c r="G48" s="292">
        <f t="shared" si="1"/>
        <v>91.875319871679324</v>
      </c>
    </row>
    <row r="49" spans="1:7" x14ac:dyDescent="0.25">
      <c r="A49" s="122">
        <v>83</v>
      </c>
      <c r="B49" s="122" t="s">
        <v>109</v>
      </c>
      <c r="C49" s="122" t="s">
        <v>27</v>
      </c>
      <c r="D49" s="291">
        <v>88.979345695750894</v>
      </c>
      <c r="E49" s="291">
        <v>88.206695374345159</v>
      </c>
      <c r="F49" s="291">
        <v>92.189973614775738</v>
      </c>
      <c r="G49" s="292">
        <f t="shared" si="1"/>
        <v>89.792004894957259</v>
      </c>
    </row>
    <row r="50" spans="1:7" x14ac:dyDescent="0.25">
      <c r="A50" s="122">
        <v>84</v>
      </c>
      <c r="B50" s="122" t="s">
        <v>32</v>
      </c>
      <c r="C50" s="122" t="s">
        <v>25</v>
      </c>
      <c r="D50" s="291">
        <v>68.723704760961695</v>
      </c>
      <c r="E50" s="291">
        <v>72.318390294438473</v>
      </c>
      <c r="F50" s="291">
        <v>70.365951821876465</v>
      </c>
      <c r="G50" s="292">
        <f t="shared" si="1"/>
        <v>70.469348959092216</v>
      </c>
    </row>
    <row r="51" spans="1:7" x14ac:dyDescent="0.25">
      <c r="A51" s="122">
        <v>85</v>
      </c>
      <c r="B51" s="122" t="s">
        <v>36</v>
      </c>
      <c r="C51" s="122" t="s">
        <v>29</v>
      </c>
      <c r="D51" s="291">
        <v>59.428787592188151</v>
      </c>
      <c r="E51" s="291">
        <v>61.773597581441997</v>
      </c>
      <c r="F51" s="291">
        <v>60.078410166283632</v>
      </c>
      <c r="G51" s="292">
        <f t="shared" si="1"/>
        <v>60.426931779971255</v>
      </c>
    </row>
    <row r="52" spans="1:7" x14ac:dyDescent="0.25">
      <c r="A52" s="122">
        <v>895</v>
      </c>
      <c r="B52" s="122" t="s">
        <v>126</v>
      </c>
      <c r="C52" s="122" t="s">
        <v>89</v>
      </c>
      <c r="D52" s="291">
        <v>76.129265864037365</v>
      </c>
      <c r="E52" s="291">
        <v>80.838739573746281</v>
      </c>
      <c r="F52" s="291">
        <v>73.321554770318016</v>
      </c>
      <c r="G52" s="292">
        <f t="shared" si="1"/>
        <v>76.763186736033887</v>
      </c>
    </row>
    <row r="53" spans="1:7" x14ac:dyDescent="0.25">
      <c r="A53" s="122">
        <v>896</v>
      </c>
      <c r="B53" s="122" t="s">
        <v>127</v>
      </c>
      <c r="C53" s="122" t="s">
        <v>91</v>
      </c>
      <c r="D53" s="291">
        <v>75.65960042700975</v>
      </c>
      <c r="E53" s="291">
        <v>79.886685552394312</v>
      </c>
      <c r="F53" s="293">
        <v>70.163004961020548</v>
      </c>
      <c r="G53" s="292">
        <f t="shared" si="1"/>
        <v>75.236430313474855</v>
      </c>
    </row>
  </sheetData>
  <mergeCells count="3">
    <mergeCell ref="A5:C5"/>
    <mergeCell ref="A31:C31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Montos AIUE 2025</vt:lpstr>
      <vt:lpstr>Montos Anticipo AIUE 2025 </vt:lpstr>
      <vt:lpstr>Complejidad</vt:lpstr>
      <vt:lpstr>Publicaciones</vt:lpstr>
      <vt:lpstr>Acreditación</vt:lpstr>
      <vt:lpstr>Doctorado JC </vt:lpstr>
      <vt:lpstr>Programas Doct. Acreditados </vt:lpstr>
      <vt:lpstr>Académicos JC </vt:lpstr>
      <vt:lpstr>Matrícula Regular Pre </vt:lpstr>
      <vt:lpstr>Indicadores (Desempeño)</vt:lpstr>
      <vt:lpstr>Valores</vt:lpstr>
      <vt:lpstr>Categorías</vt:lpstr>
      <vt:lpstr>Refuerzo</vt:lpstr>
      <vt:lpstr>Pedagogía</vt:lpstr>
      <vt:lpstr>Género</vt:lpstr>
      <vt:lpstr>Indicadores Género</vt:lpstr>
      <vt:lpstr>Complejidad!Área_de_impresión</vt:lpstr>
      <vt:lpstr>'Montos AIUE 2025'!Área_de_impresión</vt:lpstr>
      <vt:lpstr>Refuerzo!Área_de_impresión</vt:lpstr>
      <vt:lpstr>Complejidad!Títulos_a_imprimir</vt:lpstr>
      <vt:lpstr>'Montos AIUE 2025'!Títulos_a_imprimir</vt:lpstr>
      <vt:lpstr>'Montos Anticipo AIUE 2025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Paola Andrea Nuñez Cisternas</cp:lastModifiedBy>
  <cp:lastPrinted>2025-01-22T17:54:28Z</cp:lastPrinted>
  <dcterms:created xsi:type="dcterms:W3CDTF">2016-05-30T15:19:10Z</dcterms:created>
  <dcterms:modified xsi:type="dcterms:W3CDTF">2025-07-29T17:20:25Z</dcterms:modified>
</cp:coreProperties>
</file>