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neduca-my.sharepoint.com/personal/paola_nunez_mineduc_cl/Documents/Documentos/3.- Asignación de Recursos/Cálculo Recursos 2025/ADAIN/Para_WEB/"/>
    </mc:Choice>
  </mc:AlternateContent>
  <xr:revisionPtr revIDLastSave="60" documentId="8_{903A00FB-3B6A-42D3-A90D-9B7C9DF615E2}" xr6:coauthVersionLast="47" xr6:coauthVersionMax="47" xr10:uidLastSave="{5E1710A5-7219-4A67-A671-270912B11417}"/>
  <bookViews>
    <workbookView xWindow="20370" yWindow="-120" windowWidth="29040" windowHeight="15840" xr2:uid="{F0A2379E-764C-45FA-BE23-61664249A23E}"/>
  </bookViews>
  <sheets>
    <sheet name="ADAIN 2025" sheetId="1" r:id="rId1"/>
    <sheet name="Ser beneficiaria" sheetId="2" r:id="rId2"/>
    <sheet name="Matrícula Pregrado" sheetId="3" r:id="rId3"/>
    <sheet name="Matrícula Postgrado" sheetId="4" r:id="rId4"/>
    <sheet name="Años Acreditación" sheetId="5" r:id="rId5"/>
    <sheet name="Áreas Acreditación" sheetId="7" r:id="rId6"/>
    <sheet name="Fondo por habitante" sheetId="6" r:id="rId7"/>
    <sheet name="% por Universidad" sheetId="8" r:id="rId8"/>
    <sheet name="19.9" sheetId="12" r:id="rId9"/>
    <sheet name="19.11" sheetId="9" r:id="rId10"/>
    <sheet name="19.12" sheetId="10" r:id="rId11"/>
    <sheet name="19.13" sheetId="11" r:id="rId12"/>
    <sheet name="Población"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1" l="1"/>
  <c r="K25" i="1"/>
  <c r="K26" i="1"/>
  <c r="K27" i="1"/>
  <c r="K28" i="1"/>
  <c r="K29" i="1"/>
  <c r="K30" i="1"/>
  <c r="K31" i="1"/>
  <c r="K32" i="1"/>
  <c r="K33" i="1"/>
  <c r="K34" i="1"/>
  <c r="K35" i="1"/>
  <c r="K36" i="1"/>
  <c r="K37" i="1"/>
  <c r="K38" i="1"/>
  <c r="K39" i="1"/>
  <c r="K40" i="1"/>
  <c r="K24" i="1"/>
  <c r="N5" i="8" l="1"/>
  <c r="N6" i="8"/>
  <c r="N7" i="8"/>
  <c r="N8" i="8"/>
  <c r="N9" i="8"/>
  <c r="N10" i="8"/>
  <c r="N11" i="8"/>
  <c r="N12" i="8"/>
  <c r="N13" i="8"/>
  <c r="N14" i="8"/>
  <c r="N15" i="8"/>
  <c r="N16" i="8"/>
  <c r="N17" i="8"/>
  <c r="N18" i="8"/>
  <c r="N19" i="8"/>
  <c r="N4" i="8"/>
  <c r="K5" i="8" l="1"/>
  <c r="K6" i="8"/>
  <c r="K7" i="8"/>
  <c r="K8" i="8"/>
  <c r="K9" i="8"/>
  <c r="K10" i="8"/>
  <c r="K11" i="8"/>
  <c r="K12" i="8"/>
  <c r="K13" i="8"/>
  <c r="K14" i="8"/>
  <c r="K15" i="8"/>
  <c r="K16" i="8"/>
  <c r="K17" i="8"/>
  <c r="K18" i="8"/>
  <c r="K19" i="8"/>
  <c r="K4" i="8"/>
  <c r="J5" i="8"/>
  <c r="J6" i="8"/>
  <c r="J7" i="8"/>
  <c r="J8" i="8"/>
  <c r="J9" i="8"/>
  <c r="J10" i="8"/>
  <c r="J11" i="8"/>
  <c r="J12" i="8"/>
  <c r="J13" i="8"/>
  <c r="J14" i="8"/>
  <c r="J15" i="8"/>
  <c r="J16" i="8"/>
  <c r="J17" i="8"/>
  <c r="J18" i="8"/>
  <c r="J19" i="8"/>
  <c r="J4" i="8"/>
  <c r="I5" i="8"/>
  <c r="I6" i="8"/>
  <c r="I7" i="8"/>
  <c r="I8" i="8"/>
  <c r="I9" i="8"/>
  <c r="I10" i="8"/>
  <c r="I11" i="8"/>
  <c r="I12" i="8"/>
  <c r="I13" i="8"/>
  <c r="I14" i="8"/>
  <c r="I15" i="8"/>
  <c r="I16" i="8"/>
  <c r="I17" i="8"/>
  <c r="I18" i="8"/>
  <c r="I19" i="8"/>
  <c r="I4" i="8"/>
  <c r="H5" i="8"/>
  <c r="H6" i="8"/>
  <c r="H7" i="8"/>
  <c r="H8" i="8"/>
  <c r="H9" i="8"/>
  <c r="H10" i="8"/>
  <c r="H11" i="8"/>
  <c r="H12" i="8"/>
  <c r="H13" i="8"/>
  <c r="H14" i="8"/>
  <c r="H15" i="8"/>
  <c r="H16" i="8"/>
  <c r="H17" i="8"/>
  <c r="H18" i="8"/>
  <c r="H19" i="8"/>
  <c r="H4" i="8"/>
  <c r="G5" i="8"/>
  <c r="G6" i="8"/>
  <c r="G7" i="8"/>
  <c r="G8" i="8"/>
  <c r="G9" i="8"/>
  <c r="G10" i="8"/>
  <c r="G11" i="8"/>
  <c r="G12" i="8"/>
  <c r="G13" i="8"/>
  <c r="G14" i="8"/>
  <c r="G15" i="8"/>
  <c r="G16" i="8"/>
  <c r="G17" i="8"/>
  <c r="G18" i="8"/>
  <c r="G19" i="8"/>
  <c r="G4" i="8"/>
  <c r="F5" i="8"/>
  <c r="F6" i="8"/>
  <c r="F7" i="8"/>
  <c r="F8" i="8"/>
  <c r="F9" i="8"/>
  <c r="F10" i="8"/>
  <c r="F11" i="8"/>
  <c r="F12" i="8"/>
  <c r="F13" i="8"/>
  <c r="F14" i="8"/>
  <c r="F15" i="8"/>
  <c r="F16" i="8"/>
  <c r="F17" i="8"/>
  <c r="F18" i="8"/>
  <c r="F19" i="8"/>
  <c r="F4" i="8"/>
  <c r="E5" i="8"/>
  <c r="E6" i="8"/>
  <c r="E7" i="8"/>
  <c r="E8" i="8"/>
  <c r="E9" i="8"/>
  <c r="E10" i="8"/>
  <c r="E11" i="8"/>
  <c r="E12" i="8"/>
  <c r="E13" i="8"/>
  <c r="E14" i="8"/>
  <c r="E15" i="8"/>
  <c r="E16" i="8"/>
  <c r="E17" i="8"/>
  <c r="E18" i="8"/>
  <c r="E19" i="8"/>
  <c r="E4" i="8"/>
  <c r="D5" i="8"/>
  <c r="D6" i="8"/>
  <c r="D7" i="8"/>
  <c r="D8" i="8"/>
  <c r="D9" i="8"/>
  <c r="D10" i="8"/>
  <c r="D11" i="8"/>
  <c r="D12" i="8"/>
  <c r="D13" i="8"/>
  <c r="D14" i="8"/>
  <c r="D15" i="8"/>
  <c r="D16" i="8"/>
  <c r="D17" i="8"/>
  <c r="D18" i="8"/>
  <c r="D19" i="8"/>
  <c r="D4" i="8"/>
  <c r="L4" i="8" l="1"/>
  <c r="L14" i="8"/>
  <c r="M4" i="8"/>
  <c r="D20" i="8"/>
  <c r="J20" i="8"/>
  <c r="R20" i="8" l="1"/>
  <c r="L17" i="8"/>
  <c r="O16" i="8"/>
  <c r="P16" i="8" s="1"/>
  <c r="O13" i="8"/>
  <c r="P13" i="8" s="1"/>
  <c r="M19" i="8" l="1"/>
  <c r="O19" i="8" s="1"/>
  <c r="M7" i="8"/>
  <c r="O7" i="8" s="1"/>
  <c r="L8" i="8"/>
  <c r="L12" i="8"/>
  <c r="M14" i="8"/>
  <c r="O14" i="8" s="1"/>
  <c r="N20" i="8"/>
  <c r="L15" i="8"/>
  <c r="H20" i="8"/>
  <c r="L5" i="8"/>
  <c r="M8" i="8"/>
  <c r="O8" i="8" s="1"/>
  <c r="L9" i="8"/>
  <c r="M12" i="8"/>
  <c r="O12" i="8" s="1"/>
  <c r="L13" i="8"/>
  <c r="L10" i="8"/>
  <c r="L6" i="8"/>
  <c r="G20" i="8"/>
  <c r="K20" i="8"/>
  <c r="M6" i="8"/>
  <c r="O6" i="8" s="1"/>
  <c r="L7" i="8"/>
  <c r="M10" i="8"/>
  <c r="O10" i="8" s="1"/>
  <c r="L11" i="8"/>
  <c r="M11" i="8"/>
  <c r="O11" i="8" s="1"/>
  <c r="M17" i="8"/>
  <c r="O17" i="8" s="1"/>
  <c r="L18" i="8"/>
  <c r="E20" i="8"/>
  <c r="I20" i="8"/>
  <c r="M15" i="8"/>
  <c r="O15" i="8" s="1"/>
  <c r="L16" i="8"/>
  <c r="M18" i="8"/>
  <c r="O18" i="8" s="1"/>
  <c r="L19" i="8"/>
  <c r="F20" i="8"/>
  <c r="M5" i="8"/>
  <c r="O5" i="8" s="1"/>
  <c r="M9" i="8"/>
  <c r="O9" i="8" s="1"/>
  <c r="M13" i="8"/>
  <c r="M16" i="8"/>
  <c r="L20" i="8" l="1"/>
  <c r="O4" i="8"/>
  <c r="M20" i="8"/>
  <c r="C11" i="1"/>
  <c r="D15" i="1" s="1"/>
  <c r="C2" i="3" s="1"/>
  <c r="O22" i="8" l="1"/>
  <c r="P4" i="8" s="1"/>
  <c r="O20" i="8"/>
  <c r="D22" i="3"/>
  <c r="E15" i="3" s="1"/>
  <c r="F15" i="3" s="1"/>
  <c r="E34" i="1" s="1"/>
  <c r="D22" i="7"/>
  <c r="E13" i="7" s="1"/>
  <c r="D22" i="5"/>
  <c r="E21" i="5" s="1"/>
  <c r="D22" i="4"/>
  <c r="D17" i="1"/>
  <c r="C2" i="5" s="1"/>
  <c r="D14" i="1"/>
  <c r="C2" i="2" s="1"/>
  <c r="D7" i="2" s="1"/>
  <c r="D26" i="1" s="1"/>
  <c r="D16" i="1"/>
  <c r="C2" i="4" s="1"/>
  <c r="D18" i="1"/>
  <c r="C2" i="7" s="1"/>
  <c r="D19" i="1"/>
  <c r="C2" i="6" s="1"/>
  <c r="P6" i="8" l="1"/>
  <c r="P17" i="8"/>
  <c r="P15" i="8"/>
  <c r="P9" i="8"/>
  <c r="P7" i="8"/>
  <c r="P10" i="8"/>
  <c r="P18" i="8"/>
  <c r="P12" i="8"/>
  <c r="P11" i="8"/>
  <c r="P8" i="8"/>
  <c r="P5" i="8"/>
  <c r="P19" i="8"/>
  <c r="P14" i="8"/>
  <c r="E5" i="3"/>
  <c r="E9" i="3"/>
  <c r="F9" i="3" s="1"/>
  <c r="E28" i="1" s="1"/>
  <c r="E13" i="3"/>
  <c r="F13" i="3" s="1"/>
  <c r="E32" i="1" s="1"/>
  <c r="E10" i="3"/>
  <c r="F10" i="3" s="1"/>
  <c r="E29" i="1" s="1"/>
  <c r="E18" i="3"/>
  <c r="F18" i="3" s="1"/>
  <c r="E37" i="1" s="1"/>
  <c r="E6" i="3"/>
  <c r="F6" i="3" s="1"/>
  <c r="E25" i="1" s="1"/>
  <c r="E14" i="3"/>
  <c r="F14" i="3" s="1"/>
  <c r="E33" i="1" s="1"/>
  <c r="F13" i="7"/>
  <c r="H32" i="1" s="1"/>
  <c r="E20" i="3"/>
  <c r="F20" i="3" s="1"/>
  <c r="E39" i="1" s="1"/>
  <c r="E12" i="3"/>
  <c r="F12" i="3" s="1"/>
  <c r="E31" i="1" s="1"/>
  <c r="E8" i="3"/>
  <c r="F8" i="3" s="1"/>
  <c r="E27" i="1" s="1"/>
  <c r="E19" i="3"/>
  <c r="F19" i="3" s="1"/>
  <c r="E38" i="1" s="1"/>
  <c r="E11" i="3"/>
  <c r="F11" i="3" s="1"/>
  <c r="E30" i="1" s="1"/>
  <c r="E7" i="3"/>
  <c r="F7" i="3" s="1"/>
  <c r="E26" i="1" s="1"/>
  <c r="E21" i="3"/>
  <c r="F21" i="3" s="1"/>
  <c r="E40" i="1" s="1"/>
  <c r="E17" i="3"/>
  <c r="F17" i="3" s="1"/>
  <c r="E36" i="1" s="1"/>
  <c r="E16" i="3"/>
  <c r="F16" i="3" s="1"/>
  <c r="E35" i="1" s="1"/>
  <c r="F21" i="5"/>
  <c r="G40" i="1" s="1"/>
  <c r="E10" i="5"/>
  <c r="F10" i="5" s="1"/>
  <c r="G29" i="1" s="1"/>
  <c r="E5" i="5"/>
  <c r="F5" i="5" s="1"/>
  <c r="G24" i="1" s="1"/>
  <c r="F5" i="3"/>
  <c r="E24" i="1" s="1"/>
  <c r="E6" i="7"/>
  <c r="F6" i="7" s="1"/>
  <c r="H25" i="1" s="1"/>
  <c r="E12" i="7"/>
  <c r="F12" i="7" s="1"/>
  <c r="H31" i="1" s="1"/>
  <c r="E18" i="7"/>
  <c r="F18" i="7" s="1"/>
  <c r="H37" i="1" s="1"/>
  <c r="E14" i="7"/>
  <c r="F14" i="7" s="1"/>
  <c r="H33" i="1" s="1"/>
  <c r="E10" i="7"/>
  <c r="F10" i="7" s="1"/>
  <c r="H29" i="1" s="1"/>
  <c r="E16" i="7"/>
  <c r="F16" i="7" s="1"/>
  <c r="H35" i="1" s="1"/>
  <c r="E20" i="7"/>
  <c r="F20" i="7" s="1"/>
  <c r="H39" i="1" s="1"/>
  <c r="E8" i="7"/>
  <c r="F8" i="7" s="1"/>
  <c r="H27" i="1" s="1"/>
  <c r="E19" i="7"/>
  <c r="F19" i="7" s="1"/>
  <c r="H38" i="1" s="1"/>
  <c r="E21" i="7"/>
  <c r="F21" i="7" s="1"/>
  <c r="H40" i="1" s="1"/>
  <c r="E5" i="7"/>
  <c r="E11" i="7"/>
  <c r="F11" i="7" s="1"/>
  <c r="H30" i="1" s="1"/>
  <c r="E9" i="7"/>
  <c r="F9" i="7" s="1"/>
  <c r="H28" i="1" s="1"/>
  <c r="E17" i="7"/>
  <c r="F17" i="7" s="1"/>
  <c r="H36" i="1" s="1"/>
  <c r="E15" i="7"/>
  <c r="F15" i="7" s="1"/>
  <c r="H34" i="1" s="1"/>
  <c r="E7" i="7"/>
  <c r="F7" i="7" s="1"/>
  <c r="H26" i="1" s="1"/>
  <c r="E19" i="5"/>
  <c r="F19" i="5" s="1"/>
  <c r="G38" i="1" s="1"/>
  <c r="E15" i="5"/>
  <c r="F15" i="5" s="1"/>
  <c r="G34" i="1" s="1"/>
  <c r="E9" i="5"/>
  <c r="F9" i="5" s="1"/>
  <c r="G28" i="1" s="1"/>
  <c r="E20" i="5"/>
  <c r="F20" i="5" s="1"/>
  <c r="G39" i="1" s="1"/>
  <c r="E13" i="5"/>
  <c r="F13" i="5" s="1"/>
  <c r="G32" i="1" s="1"/>
  <c r="E6" i="5"/>
  <c r="F6" i="5" s="1"/>
  <c r="G25" i="1" s="1"/>
  <c r="E8" i="5"/>
  <c r="F8" i="5" s="1"/>
  <c r="G27" i="1" s="1"/>
  <c r="E11" i="5"/>
  <c r="F11" i="5" s="1"/>
  <c r="G30" i="1" s="1"/>
  <c r="E12" i="5"/>
  <c r="F12" i="5" s="1"/>
  <c r="G31" i="1" s="1"/>
  <c r="E14" i="5"/>
  <c r="F14" i="5" s="1"/>
  <c r="G33" i="1" s="1"/>
  <c r="E17" i="5"/>
  <c r="F17" i="5" s="1"/>
  <c r="G36" i="1" s="1"/>
  <c r="E7" i="5"/>
  <c r="F7" i="5" s="1"/>
  <c r="G26" i="1" s="1"/>
  <c r="E16" i="5"/>
  <c r="F16" i="5" s="1"/>
  <c r="G35" i="1" s="1"/>
  <c r="E18" i="5"/>
  <c r="F18" i="5" s="1"/>
  <c r="G37" i="1" s="1"/>
  <c r="E6" i="4"/>
  <c r="F6" i="4" s="1"/>
  <c r="F25" i="1" s="1"/>
  <c r="E18" i="4"/>
  <c r="F18" i="4" s="1"/>
  <c r="F37" i="1" s="1"/>
  <c r="E14" i="4"/>
  <c r="F14" i="4" s="1"/>
  <c r="F33" i="1" s="1"/>
  <c r="E10" i="4"/>
  <c r="F10" i="4" s="1"/>
  <c r="F29" i="1" s="1"/>
  <c r="E16" i="4"/>
  <c r="F16" i="4" s="1"/>
  <c r="F35" i="1" s="1"/>
  <c r="E20" i="4"/>
  <c r="F20" i="4" s="1"/>
  <c r="F39" i="1" s="1"/>
  <c r="E12" i="4"/>
  <c r="F12" i="4" s="1"/>
  <c r="F31" i="1" s="1"/>
  <c r="E8" i="4"/>
  <c r="F8" i="4" s="1"/>
  <c r="F27" i="1" s="1"/>
  <c r="E11" i="4"/>
  <c r="F11" i="4" s="1"/>
  <c r="F30" i="1" s="1"/>
  <c r="E21" i="4"/>
  <c r="F21" i="4" s="1"/>
  <c r="F40" i="1" s="1"/>
  <c r="E5" i="4"/>
  <c r="E7" i="4"/>
  <c r="F7" i="4" s="1"/>
  <c r="F26" i="1" s="1"/>
  <c r="E13" i="4"/>
  <c r="F13" i="4" s="1"/>
  <c r="F32" i="1" s="1"/>
  <c r="E19" i="4"/>
  <c r="F19" i="4" s="1"/>
  <c r="F38" i="1" s="1"/>
  <c r="E9" i="4"/>
  <c r="F9" i="4" s="1"/>
  <c r="F28" i="1" s="1"/>
  <c r="E17" i="4"/>
  <c r="F17" i="4" s="1"/>
  <c r="F36" i="1" s="1"/>
  <c r="E15" i="4"/>
  <c r="F15" i="4" s="1"/>
  <c r="F34" i="1" s="1"/>
  <c r="D11" i="2"/>
  <c r="D30" i="1" s="1"/>
  <c r="D12" i="2"/>
  <c r="D31" i="1" s="1"/>
  <c r="D14" i="2"/>
  <c r="D33" i="1" s="1"/>
  <c r="D17" i="2"/>
  <c r="D36" i="1" s="1"/>
  <c r="D15" i="2"/>
  <c r="D34" i="1" s="1"/>
  <c r="D16" i="2"/>
  <c r="D35" i="1" s="1"/>
  <c r="D5" i="2"/>
  <c r="D24" i="1" s="1"/>
  <c r="D10" i="2"/>
  <c r="D29" i="1" s="1"/>
  <c r="D19" i="2"/>
  <c r="D38" i="1" s="1"/>
  <c r="D20" i="2"/>
  <c r="D39" i="1" s="1"/>
  <c r="D21" i="2"/>
  <c r="D40" i="1" s="1"/>
  <c r="D18" i="2"/>
  <c r="D37" i="1" s="1"/>
  <c r="D8" i="2"/>
  <c r="D27" i="1" s="1"/>
  <c r="D6" i="2"/>
  <c r="D25" i="1" s="1"/>
  <c r="D9" i="2"/>
  <c r="D28" i="1" s="1"/>
  <c r="D13" i="2"/>
  <c r="D32" i="1" s="1"/>
  <c r="P20" i="8" l="1"/>
  <c r="E22" i="3"/>
  <c r="F22" i="3"/>
  <c r="E41" i="1"/>
  <c r="D41" i="1"/>
  <c r="E22" i="7"/>
  <c r="F5" i="7"/>
  <c r="E22" i="5"/>
  <c r="G41" i="1"/>
  <c r="F22" i="5"/>
  <c r="E22" i="4"/>
  <c r="F5" i="4"/>
  <c r="D22" i="2"/>
  <c r="E13" i="2" s="1"/>
  <c r="E7" i="2"/>
  <c r="E11" i="2" l="1"/>
  <c r="E17" i="2"/>
  <c r="E12" i="2"/>
  <c r="E21" i="2"/>
  <c r="E14" i="2"/>
  <c r="E8" i="2"/>
  <c r="Q13" i="8"/>
  <c r="S13" i="8" s="1"/>
  <c r="T13" i="8" s="1"/>
  <c r="Q16" i="8"/>
  <c r="S16" i="8" s="1"/>
  <c r="T16" i="8" s="1"/>
  <c r="Q4" i="8"/>
  <c r="Q18" i="8"/>
  <c r="S18" i="8" s="1"/>
  <c r="T18" i="8" s="1"/>
  <c r="Q12" i="8"/>
  <c r="S12" i="8" s="1"/>
  <c r="T12" i="8" s="1"/>
  <c r="Q7" i="8"/>
  <c r="S7" i="8" s="1"/>
  <c r="T7" i="8" s="1"/>
  <c r="Q5" i="8"/>
  <c r="S5" i="8" s="1"/>
  <c r="T5" i="8" s="1"/>
  <c r="Q19" i="8"/>
  <c r="S19" i="8" s="1"/>
  <c r="T19" i="8" s="1"/>
  <c r="Q11" i="8"/>
  <c r="S11" i="8" s="1"/>
  <c r="T11" i="8" s="1"/>
  <c r="Q17" i="8"/>
  <c r="S17" i="8" s="1"/>
  <c r="T17" i="8" s="1"/>
  <c r="Q8" i="8"/>
  <c r="S8" i="8" s="1"/>
  <c r="T8" i="8" s="1"/>
  <c r="Q14" i="8"/>
  <c r="S14" i="8" s="1"/>
  <c r="T14" i="8" s="1"/>
  <c r="Q15" i="8"/>
  <c r="S15" i="8" s="1"/>
  <c r="T15" i="8" s="1"/>
  <c r="Q9" i="8"/>
  <c r="S9" i="8" s="1"/>
  <c r="T9" i="8" s="1"/>
  <c r="Q6" i="8"/>
  <c r="S6" i="8" s="1"/>
  <c r="T6" i="8" s="1"/>
  <c r="Q10" i="8"/>
  <c r="S10" i="8" s="1"/>
  <c r="T10" i="8" s="1"/>
  <c r="E15" i="2"/>
  <c r="E5" i="2"/>
  <c r="E6" i="2"/>
  <c r="E9" i="2"/>
  <c r="E18" i="2"/>
  <c r="E20" i="2"/>
  <c r="E10" i="2"/>
  <c r="E19" i="2"/>
  <c r="E16" i="2"/>
  <c r="F22" i="7"/>
  <c r="H24" i="1"/>
  <c r="H41" i="1" s="1"/>
  <c r="F22" i="4"/>
  <c r="F24" i="1"/>
  <c r="F15" i="6" l="1"/>
  <c r="G15" i="6" s="1"/>
  <c r="I34" i="1" s="1"/>
  <c r="J34" i="1" s="1"/>
  <c r="F7" i="6"/>
  <c r="G7" i="6" s="1"/>
  <c r="I26" i="1" s="1"/>
  <c r="J26" i="1" s="1"/>
  <c r="F5" i="6"/>
  <c r="F10" i="6"/>
  <c r="G10" i="6" s="1"/>
  <c r="I29" i="1" s="1"/>
  <c r="J29" i="1" s="1"/>
  <c r="F13" i="6"/>
  <c r="G13" i="6" s="1"/>
  <c r="I32" i="1" s="1"/>
  <c r="J32" i="1" s="1"/>
  <c r="F14" i="6"/>
  <c r="G14" i="6" s="1"/>
  <c r="I33" i="1" s="1"/>
  <c r="J33" i="1" s="1"/>
  <c r="F11" i="6"/>
  <c r="G11" i="6" s="1"/>
  <c r="I30" i="1" s="1"/>
  <c r="J30" i="1" s="1"/>
  <c r="F6" i="6"/>
  <c r="G6" i="6" s="1"/>
  <c r="I25" i="1" s="1"/>
  <c r="J25" i="1" s="1"/>
  <c r="F19" i="6"/>
  <c r="G19" i="6" s="1"/>
  <c r="I38" i="1" s="1"/>
  <c r="J38" i="1" s="1"/>
  <c r="F21" i="6"/>
  <c r="G21" i="6" s="1"/>
  <c r="I40" i="1" s="1"/>
  <c r="J40" i="1" s="1"/>
  <c r="F9" i="6"/>
  <c r="G9" i="6" s="1"/>
  <c r="I28" i="1" s="1"/>
  <c r="J28" i="1" s="1"/>
  <c r="S4" i="8"/>
  <c r="T4" i="8" s="1"/>
  <c r="T20" i="8" s="1"/>
  <c r="Q20" i="8"/>
  <c r="F8" i="6"/>
  <c r="G8" i="6" s="1"/>
  <c r="I27" i="1" s="1"/>
  <c r="J27" i="1" s="1"/>
  <c r="F18" i="6"/>
  <c r="G18" i="6" s="1"/>
  <c r="I37" i="1" s="1"/>
  <c r="J37" i="1" s="1"/>
  <c r="F20" i="6"/>
  <c r="G20" i="6" s="1"/>
  <c r="I39" i="1" s="1"/>
  <c r="J39" i="1" s="1"/>
  <c r="F12" i="6"/>
  <c r="G12" i="6" s="1"/>
  <c r="I31" i="1" s="1"/>
  <c r="J31" i="1" s="1"/>
  <c r="F17" i="6"/>
  <c r="G17" i="6" s="1"/>
  <c r="I36" i="1" s="1"/>
  <c r="J36" i="1" s="1"/>
  <c r="G5" i="6"/>
  <c r="E22" i="2"/>
  <c r="F41" i="1"/>
  <c r="C20" i="1"/>
  <c r="D20" i="1"/>
  <c r="F16" i="6" l="1"/>
  <c r="G16" i="6" s="1"/>
  <c r="I35" i="1" s="1"/>
  <c r="J35" i="1" s="1"/>
  <c r="I24" i="1"/>
  <c r="G22" i="6" l="1"/>
  <c r="F22" i="6"/>
  <c r="I41" i="1"/>
  <c r="J24" i="1"/>
  <c r="J41" i="1" l="1"/>
</calcChain>
</file>

<file path=xl/sharedStrings.xml><?xml version="1.0" encoding="utf-8"?>
<sst xmlns="http://schemas.openxmlformats.org/spreadsheetml/2006/main" count="578" uniqueCount="155">
  <si>
    <t>Parámetro</t>
  </si>
  <si>
    <t>Porcentaje</t>
  </si>
  <si>
    <t>Monto M$</t>
  </si>
  <si>
    <t>Ser beneficiaria</t>
  </si>
  <si>
    <t>Matrícula Total de Pregrado</t>
  </si>
  <si>
    <t>Matrícula Magister y Doctorado</t>
  </si>
  <si>
    <t>Años de Acreditación</t>
  </si>
  <si>
    <t>Áreas de Acreditación</t>
  </si>
  <si>
    <t>Fondo por Habitante (Inverso)</t>
  </si>
  <si>
    <t>Total</t>
  </si>
  <si>
    <t>Universidad</t>
  </si>
  <si>
    <t>Código</t>
  </si>
  <si>
    <t>Aporte para el Desarrollo de Actividades de Interés Nacional</t>
  </si>
  <si>
    <t>Universidades Estatales (No UCH)</t>
  </si>
  <si>
    <t>Detalle</t>
  </si>
  <si>
    <t>Transferencias Corrientes</t>
  </si>
  <si>
    <t>Transferencias de Capital</t>
  </si>
  <si>
    <t>Total AIN-OTRAS</t>
  </si>
  <si>
    <t>U. de Talca</t>
  </si>
  <si>
    <t>U. Arturo Prat</t>
  </si>
  <si>
    <t>U. de la Frontera</t>
  </si>
  <si>
    <t>U. del Bio Bio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</si>
  <si>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</si>
  <si>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</si>
  <si>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</si>
  <si>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</si>
  <si>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</si>
  <si>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</si>
  <si>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</si>
  <si>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</si>
  <si>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</si>
  <si>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</si>
  <si>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</si>
  <si>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</si>
  <si>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</si>
  <si>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N°</t>
  </si>
  <si>
    <t>TAL</t>
  </si>
  <si>
    <t>UAP</t>
  </si>
  <si>
    <t>FRO</t>
  </si>
  <si>
    <t>UBB</t>
  </si>
  <si>
    <t>USA</t>
  </si>
  <si>
    <t>ANT</t>
  </si>
  <si>
    <t>ULS</t>
  </si>
  <si>
    <t>UVA</t>
  </si>
  <si>
    <t>URO</t>
  </si>
  <si>
    <t>ULA</t>
  </si>
  <si>
    <t>ATA</t>
  </si>
  <si>
    <t>UTA</t>
  </si>
  <si>
    <t>UPA</t>
  </si>
  <si>
    <t>MAG</t>
  </si>
  <si>
    <t>UTM</t>
  </si>
  <si>
    <t>UMC</t>
  </si>
  <si>
    <t>URY</t>
  </si>
  <si>
    <t>Presupuesto M$</t>
  </si>
  <si>
    <t>Matrícula de Pregrado</t>
  </si>
  <si>
    <t>Región</t>
  </si>
  <si>
    <t>N° Región</t>
  </si>
  <si>
    <t>Maule</t>
  </si>
  <si>
    <t>Tarapacá</t>
  </si>
  <si>
    <t>Araucanía</t>
  </si>
  <si>
    <t>Bío-Bío</t>
  </si>
  <si>
    <t>Metropolitana</t>
  </si>
  <si>
    <t>Antofagasta</t>
  </si>
  <si>
    <t>Coquimbo</t>
  </si>
  <si>
    <t>Valparaíso</t>
  </si>
  <si>
    <t>O'Higgins</t>
  </si>
  <si>
    <t>Los Lagos</t>
  </si>
  <si>
    <t>Atacama</t>
  </si>
  <si>
    <t>Arica y Parinacota</t>
  </si>
  <si>
    <t>Magallanes</t>
  </si>
  <si>
    <t>Aysén</t>
  </si>
  <si>
    <t>% Por Universidad</t>
  </si>
  <si>
    <t>TOTAL NACIONAL</t>
  </si>
  <si>
    <t>Total Fondos</t>
  </si>
  <si>
    <t>Nombre Región</t>
  </si>
  <si>
    <t>Casa Central U. Estatal</t>
  </si>
  <si>
    <t>N° de proyectos</t>
  </si>
  <si>
    <t>Monto adjudicado ($)/2</t>
  </si>
  <si>
    <t>Monto adjudicado ($)/4</t>
  </si>
  <si>
    <t>Monto adjudicado ($)/3</t>
  </si>
  <si>
    <t>Habitantes por Región</t>
  </si>
  <si>
    <t>Montos por Habitante</t>
  </si>
  <si>
    <t>% respecto al mínimo</t>
  </si>
  <si>
    <t>% por Región</t>
  </si>
  <si>
    <t>N° Universidades Estatales por Región</t>
  </si>
  <si>
    <t>% a distribuir por Universidad de cada región</t>
  </si>
  <si>
    <t>Sí</t>
  </si>
  <si>
    <t>Ñuble</t>
  </si>
  <si>
    <t>No</t>
  </si>
  <si>
    <t>Biobío</t>
  </si>
  <si>
    <t>La Araucanía</t>
  </si>
  <si>
    <t>TOTAL</t>
  </si>
  <si>
    <t>Mínimo</t>
  </si>
  <si>
    <t>Creación</t>
  </si>
  <si>
    <t>Los Ríos</t>
  </si>
  <si>
    <t>Fuente: Censo 2017</t>
  </si>
  <si>
    <t>https://www.censo2017.cl/descargas/home/sintesis-de-resultados-censo2017.pdf</t>
  </si>
  <si>
    <t>Población Censo 2017</t>
  </si>
  <si>
    <t>Total 2017</t>
  </si>
  <si>
    <t>Fomento a la Industria</t>
  </si>
  <si>
    <t>% Total por Región</t>
  </si>
  <si>
    <t>Producción de Registro Fonográfico</t>
  </si>
  <si>
    <t>Proyectos</t>
  </si>
  <si>
    <t>Fuente: Subsecretaría de las Culturas y las Artes - Ministerio de las Culturas, las Artes y el Patrimonio.</t>
  </si>
  <si>
    <t>Fomento de la Lectura y/o Escritura</t>
  </si>
  <si>
    <t>Producción Audiovisual de Largometrajes</t>
  </si>
  <si>
    <t>Producción Audiovisual Regional</t>
  </si>
  <si>
    <t>Presupuesto 2025 M$</t>
  </si>
  <si>
    <t>Matrícula Pregrado 2024</t>
  </si>
  <si>
    <t>Matrícula Magister y Doctorado 2024</t>
  </si>
  <si>
    <t>Años de Acreditación 2024</t>
  </si>
  <si>
    <t>Áreas de Acreditación 2024</t>
  </si>
  <si>
    <t>TABLA 19.9: NÚMERO DE PROYECTOS Y MONTOS/1 ADJUDICADOS DEL FONDO NACIONAL DEL DESARROLLO CULTURAL Y LAS ARTES (FONDART) PARA CONCURSO NACIONAL, POR LÍNEA DE CONCURSO, SEGÚN REGIÓN DE DOMICILIO DE LA PERSONA SELECCIONADA. 2023/2/3</t>
  </si>
  <si>
    <r>
      <t>TABLA 19.9: NÚMERO DE PROYECTOS Y MONTOS</t>
    </r>
    <r>
      <rPr>
        <b/>
        <vertAlign val="superscript"/>
        <sz val="8"/>
        <color indexed="8"/>
        <rFont val="Verdana"/>
        <family val="2"/>
      </rPr>
      <t>/1</t>
    </r>
    <r>
      <rPr>
        <b/>
        <sz val="8"/>
        <color indexed="8"/>
        <rFont val="Verdana"/>
        <family val="2"/>
      </rPr>
      <t xml:space="preserve"> ADJUDICADOS DEL FONDO NACIONAL DEL DESARROLLO CULTURAL Y LAS ARTES (FONDART) PARA CONCURSO NACIONAL, POR LÍNEA DE CONCURSO, SEGÚN REGIÓN DE DOMICILIO DE LA PERSONA SELECCIONADA. 2023</t>
    </r>
    <r>
      <rPr>
        <b/>
        <vertAlign val="superscript"/>
        <sz val="8"/>
        <color indexed="8"/>
        <rFont val="Verdana"/>
        <family val="2"/>
      </rPr>
      <t>/2/3</t>
    </r>
  </si>
  <si>
    <t>Región de Domicilio de la Persona Seleccionada</t>
  </si>
  <si>
    <t>Creación Artística</t>
  </si>
  <si>
    <t>Circulación Nacional e Internacional 2023</t>
  </si>
  <si>
    <t>Investigación</t>
  </si>
  <si>
    <t>Monto Adjudicado ($)</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</si>
  <si>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</si>
  <si>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color indexed="8"/>
        <rFont val="Verdana"/>
        <family val="2"/>
      </rPr>
      <t xml:space="preserve">2 </t>
    </r>
    <r>
      <rPr>
        <sz val="8"/>
        <color indexed="8"/>
        <rFont val="Verdana"/>
        <family val="2"/>
      </rPr>
      <t>A diferencia del Fondart Regional, este fondo cuenta sólo con una instancia de selección nacional. Se considera la proporción poblacional de la región como criterio para la distribución regional de los montos adjudicados a partir de la dirección inscrita por la persona postulante.</t>
    </r>
  </si>
  <si>
    <r>
      <t xml:space="preserve">3 </t>
    </r>
    <r>
      <rPr>
        <sz val="8"/>
        <color indexed="8"/>
        <rFont val="Verdana"/>
        <family val="2"/>
      </rPr>
      <t>El número de proyectos y de montos adjudicados por línea, corresponden a la suma total de los concursos durante el año.</t>
    </r>
  </si>
  <si>
    <r>
      <t>TABLA 19.11: NÚMERO DE PROYECTOS Y MONTOS</t>
    </r>
    <r>
      <rPr>
        <b/>
        <vertAlign val="superscript"/>
        <sz val="8"/>
        <rFont val="Verdana"/>
        <family val="2"/>
      </rPr>
      <t>/1</t>
    </r>
    <r>
      <rPr>
        <b/>
        <sz val="8"/>
        <rFont val="Verdana"/>
        <family val="2"/>
      </rPr>
      <t xml:space="preserve"> ADJUDICADOS POR EL FONDO DE FOMENTO DE LA MÚSICA NACIONAL, POR LÍNEA DE CONCURSO, SEGÚN REGIÓN DE DOMICILIO DE LA PERSONA SELECCIONADA. 2023</t>
    </r>
    <r>
      <rPr>
        <b/>
        <vertAlign val="superscript"/>
        <sz val="8"/>
        <rFont val="Verdana"/>
        <family val="2"/>
      </rPr>
      <t>/2/3</t>
    </r>
  </si>
  <si>
    <t>Total Nacional</t>
  </si>
  <si>
    <t>Música en Vivo (Presencial o Virtual)</t>
  </si>
  <si>
    <t>Apoyo a la Circulación de la Música Chilena 2023</t>
  </si>
  <si>
    <t>Convocatoria Orquestas Profesionales Doctas 2023</t>
  </si>
  <si>
    <t>Infraestructura y Equipamiento</t>
  </si>
  <si>
    <r>
      <t>Otras Líneas de Concurso</t>
    </r>
    <r>
      <rPr>
        <b/>
        <vertAlign val="superscript"/>
        <sz val="8"/>
        <rFont val="Verdana"/>
        <family val="2"/>
      </rPr>
      <t>/4</t>
    </r>
  </si>
  <si>
    <r>
      <rPr>
        <b/>
        <sz val="8"/>
        <rFont val="Verdana"/>
        <family val="2"/>
      </rPr>
      <t xml:space="preserve">2 </t>
    </r>
    <r>
      <rPr>
        <sz val="8"/>
        <rFont val="Verdana"/>
        <family val="2"/>
      </rPr>
      <t>A diferencia del Fondart, este fondo cuenta sólo con una instancia de selección nacional. Se considera la proporción poblacional de la región como criterio para la distribución regional de los montos adjudicados a partir de la dirección inscrita por la persona postulante.</t>
    </r>
  </si>
  <si>
    <r>
      <rPr>
        <b/>
        <sz val="8"/>
        <color indexed="8"/>
        <rFont val="Verdana"/>
        <family val="2"/>
      </rPr>
      <t xml:space="preserve">3 </t>
    </r>
    <r>
      <rPr>
        <sz val="8"/>
        <color indexed="8"/>
        <rFont val="Verdana"/>
        <family val="2"/>
      </rPr>
      <t>El número de proyectos y de montos adjudicados por línea, corresponden a la suma total de los concursos durante el año.</t>
    </r>
  </si>
  <si>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Actividades Formativas, Asistencia a Mercados Foco 2023, Convocatoria Orquestas Profesionales Populares 2023, Coros, Orquestas y Bandas Instrumentales, Difusión de la Música Nacional, Investigación y Registro de la Música Nacional, Producción y Difusión de Videoclip.</t>
    </r>
  </si>
  <si>
    <t>TABLA 19.11: NÚMERO DE PROYECTOS Y MONTOS/1 ADJUDICADOS POR EL FONDO DE FOMENTO DE LA MÚSICA NACIONAL, POR LÍNEA DE CONCURSO, SEGÚN REGIÓN DE DOMICILIO DE LA PERSONA SELECCIONADA. 2023/2/3</t>
  </si>
  <si>
    <r>
      <t>TABLA 19.12: NÚMERO DE PROYECTOS Y MONTOS</t>
    </r>
    <r>
      <rPr>
        <b/>
        <vertAlign val="superscript"/>
        <sz val="8"/>
        <color indexed="8"/>
        <rFont val="Verdana"/>
        <family val="2"/>
      </rPr>
      <t>/1</t>
    </r>
    <r>
      <rPr>
        <b/>
        <sz val="8"/>
        <color indexed="8"/>
        <rFont val="Verdana"/>
        <family val="2"/>
      </rPr>
      <t xml:space="preserve"> ADJUDICADOS POR EL FONDO NACIONAL DE FOMENTO DEL LIBRO Y LA LECTURA, POR LÍNEA DE CONCURSO, SEGÚN REGIÓN DE DOMICILIO DE LA PERSONA SELECCIONADA. 2023</t>
    </r>
    <r>
      <rPr>
        <b/>
        <vertAlign val="superscript"/>
        <sz val="8"/>
        <color indexed="8"/>
        <rFont val="Verdana"/>
        <family val="2"/>
      </rPr>
      <t>/2/3</t>
    </r>
  </si>
  <si>
    <t>Apoyo a Festivales y Ferias del Libro</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</si>
  <si>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Apoyo a la Difusión de Obras, Autores e Industria Editorial - FIL Buenos Aires 2023, Apoyo a la Difusión de Obras, Autores e Industria Editorial 2° semestre 2023, Apoyo a la Traducción 2023, Misión a Feria del Libro de Frankfurt 2023.</t>
    </r>
  </si>
  <si>
    <t>TABLA 19.12: NÚMERO DE PROYECTOS Y MONTOS/1 ADJUDICADOS POR EL FONDO NACIONAL DE FOMENTO DEL LIBRO Y LA LECTURA, POR LÍNEA DE CONCURSO, SEGÚN REGIÓN DE DOMICILIO DE LA PERSONA SELECCIONADA. 2023/2/3</t>
  </si>
  <si>
    <r>
      <t>TABLA 19.13: NÚMERO DE PROYECTOS Y MONTOS</t>
    </r>
    <r>
      <rPr>
        <b/>
        <vertAlign val="superscript"/>
        <sz val="8"/>
        <color rgb="FF000000"/>
        <rFont val="Verdana"/>
        <family val="2"/>
      </rPr>
      <t>/1</t>
    </r>
    <r>
      <rPr>
        <b/>
        <sz val="8"/>
        <color rgb="FF000000"/>
        <rFont val="Verdana"/>
        <family val="2"/>
      </rPr>
      <t xml:space="preserve"> ADJUDICADOS POR FONDO DE FOMENTO AUDIOVISUAL, POR LÍNEA DE CONCURSO, SEGÚN REGIÓN DE DOMICILIO DE LA PERSONA SELECCIONADA. 2023</t>
    </r>
    <r>
      <rPr>
        <b/>
        <vertAlign val="superscript"/>
        <sz val="8"/>
        <color rgb="FF000000"/>
        <rFont val="Verdana"/>
        <family val="2"/>
      </rPr>
      <t>/2/3</t>
    </r>
  </si>
  <si>
    <t xml:space="preserve">
Total Nacional
</t>
  </si>
  <si>
    <t>Difusión, Exhibición e Implementación Audiovisual</t>
  </si>
  <si>
    <t>Distribución de Cine y Videojuegos</t>
  </si>
  <si>
    <t>Producción Audiovisual de Cortometrajes</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</si>
  <si>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Formación Grupal, Fortalecimiento de la Empresa Audiovisual 2023, Fortalecimiento de Proyectos de Cortometraje 2023, Fortalecimiento de Proyectos de Largometraje 2023, Fortalecimiento de Proyectos de Serie o Webserie 2023, Fortalecimiento de Proyectos de Videojuego 2023, Guion Original y Adaptación Literaria, Investigación, Producción de Audiovisual Interactivo o Experimental, Producción de Videojuegos, Programa de Apoyo para la Participación en Instancias Competitivas y Formativas Internacionales 2023, Programa de Apoyo para la Participación en Mercados Internacionales 2023, Webserie.</t>
    </r>
  </si>
  <si>
    <t>TABLA 19.13: NÚMERO DE PROYECTOS Y MONTOS/1 ADJUDICADOS POR FONDO DE FOMENTO AUDIOVISUAL, POR LÍNEA DE CONCURSO, SEGÚN REGIÓN DE DOMICILIO DE LA PERSONA SELECCIONADA. 2023/2/3</t>
  </si>
  <si>
    <t>Año 2025</t>
  </si>
  <si>
    <t>Unidad de Análisis e Información, DIVIA - SUBESUP</t>
  </si>
  <si>
    <t>Enero de 2025</t>
  </si>
  <si>
    <t>1. Ser beneficiaria M$</t>
  </si>
  <si>
    <t>2. Matrícula Total de Pregrado
M$</t>
  </si>
  <si>
    <t>3. Matrícula Total de Postgrado
M$</t>
  </si>
  <si>
    <t>4. Años de Acreditación M$</t>
  </si>
  <si>
    <t>5. Áreas de Acreditación M$</t>
  </si>
  <si>
    <t>6. Inverso de fondos de Cultura por Habitante
M$</t>
  </si>
  <si>
    <t>ADAIN 2025
Total 
M$</t>
  </si>
  <si>
    <t>ADAIN 2024
Total
sin decimales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</si>
</sst>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0.0%"/>
    <numFmt numFmtId="165" formatCode="_-* #,##0_-;\-* #,##0_-;_-* &quot;-&quot;??_-;_-@_-"/>
    <numFmt numFmtId="166" formatCode="_(* #,##0.00_);_(* \(#,##0.00\);_(* &quot;-&quot;??_);_(@_)"/>
    <numFmt numFmtId="167" formatCode="_-* #,##0_-;\-* #,##0_-;_-* &quot;-&quot;_-;_-@_-"/>
    <numFmt numFmtId="168" formatCode="_ * #,##0.000_ ;_ * \-#,##0.000_ ;_ * &quot;-&quot;_ ;_ @_ "/>
    <numFmt numFmtId="169" formatCode="#,##0_ ;\-#,##0\ "/>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sz val="11"/>
      <color theme="1"/>
      <name val="Calibri"/>
      <family val="2"/>
    </font>
    <font>
      <sz val="10"/>
      <name val="Arial"/>
      <family val="2"/>
    </font>
    <font>
      <sz val="8"/>
      <name val="Verdana"/>
      <family val="2"/>
    </font>
    <font>
      <b/>
      <sz val="8"/>
      <name val="Verdana"/>
      <family val="2"/>
    </font>
    <font>
      <b/>
      <vertAlign val="superscript"/>
      <sz val="8"/>
      <name val="Verdana"/>
      <family val="2"/>
    </font>
    <font>
      <b/>
      <vertAlign val="superscript"/>
      <sz val="8"/>
      <color rgb="FF000000"/>
      <name val="Verdana"/>
      <family val="2"/>
    </font>
    <font>
      <b/>
      <sz val="8"/>
      <color rgb="FF000000"/>
      <name val="Verdana"/>
      <family val="2"/>
    </font>
    <font>
      <b/>
      <sz val="11"/>
      <color rgb="FF000000"/>
      <name val="Calibri"/>
      <family val="2"/>
    </font>
    <font>
      <b/>
      <sz val="10"/>
      <color rgb="FF000000"/>
      <name val="Calibri"/>
      <family val="2"/>
    </font>
    <font>
      <sz val="10"/>
      <color rgb="FF000000"/>
      <name val="Calibri"/>
      <family val="2"/>
    </font>
    <font>
      <sz val="8"/>
      <color rgb="FF000000"/>
      <name val="Verdana"/>
      <family val="2"/>
    </font>
    <font>
      <u/>
      <sz val="11"/>
      <color theme="10"/>
      <name val="Calibri"/>
      <family val="2"/>
      <scheme val="minor"/>
    </font>
    <font>
      <b/>
      <sz val="8"/>
      <color indexed="8"/>
      <name val="Verdana"/>
      <family val="2"/>
    </font>
    <font>
      <sz val="8"/>
      <color indexed="8"/>
      <name val="Verdana"/>
      <family val="2"/>
    </font>
    <font>
      <b/>
      <vertAlign val="superscript"/>
      <sz val="8"/>
      <color indexed="8"/>
      <name val="Verdana"/>
      <family val="2"/>
    </font>
    <font>
      <sz val="8"/>
      <color theme="1"/>
      <name val="Verdana"/>
      <family val="2"/>
    </font>
    <font>
      <b/>
      <sz val="13"/>
      <name val="Calibri"/>
      <family val="2"/>
      <scheme val="minor"/>
    </font>
    <font>
      <sz val="9"/>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theme="4" tint="0.39997558519241921"/>
      </top>
      <bottom/>
      <diagonal/>
    </border>
    <border>
      <left style="thin">
        <color indexed="64"/>
      </left>
      <right style="thin">
        <color indexed="64"/>
      </right>
      <top style="thin">
        <color rgb="FFFFFFFF"/>
      </top>
      <bottom style="thin">
        <color indexed="64"/>
      </bottom>
      <diagonal/>
    </border>
    <border>
      <left/>
      <right style="thin">
        <color rgb="FF000000"/>
      </right>
      <top/>
      <bottom style="thin">
        <color rgb="FF000000"/>
      </bottom>
      <diagonal/>
    </border>
    <border>
      <left style="thin">
        <color rgb="FFD3D3D3"/>
      </left>
      <right style="thin">
        <color rgb="FFD3D3D3"/>
      </right>
      <top/>
      <bottom style="thin">
        <color rgb="FFD3D3D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1" fillId="0" borderId="0"/>
    <xf numFmtId="166" fontId="11" fillId="0" borderId="0" applyFont="0" applyFill="0" applyBorder="0" applyAlignment="0" applyProtection="0"/>
    <xf numFmtId="166" fontId="11" fillId="0" borderId="0" applyFont="0" applyFill="0" applyBorder="0" applyAlignment="0" applyProtection="0"/>
    <xf numFmtId="167" fontId="1" fillId="0" borderId="0" applyFont="0" applyFill="0" applyBorder="0" applyAlignment="0" applyProtection="0"/>
    <xf numFmtId="0" fontId="11" fillId="0" borderId="0"/>
    <xf numFmtId="0" fontId="11" fillId="0" borderId="0"/>
    <xf numFmtId="0" fontId="21" fillId="0" borderId="0" applyNumberFormat="0" applyFill="0" applyBorder="0" applyAlignment="0" applyProtection="0"/>
  </cellStyleXfs>
  <cellXfs count="154">
    <xf numFmtId="0" fontId="0" fillId="0" borderId="0" xfId="0"/>
    <xf numFmtId="0" fontId="4" fillId="0" borderId="0" xfId="0" applyFont="1"/>
    <xf numFmtId="0" fontId="3" fillId="0" borderId="1" xfId="0" applyFont="1" applyBorder="1"/>
    <xf numFmtId="164" fontId="3" fillId="0" borderId="1" xfId="3" applyNumberFormat="1" applyFont="1" applyBorder="1"/>
    <xf numFmtId="41" fontId="3" fillId="0" borderId="1" xfId="0" applyNumberFormat="1" applyFont="1" applyBorder="1"/>
    <xf numFmtId="0" fontId="4" fillId="0" borderId="1" xfId="0" applyFont="1" applyBorder="1"/>
    <xf numFmtId="9" fontId="4" fillId="0" borderId="1" xfId="3" applyFont="1" applyBorder="1"/>
    <xf numFmtId="41" fontId="4" fillId="0" borderId="1" xfId="0" applyNumberFormat="1" applyFont="1" applyBorder="1"/>
    <xf numFmtId="0" fontId="6" fillId="0" borderId="1" xfId="0" applyFont="1" applyBorder="1"/>
    <xf numFmtId="165" fontId="8" fillId="0" borderId="1" xfId="1" applyNumberFormat="1" applyFont="1" applyFill="1" applyBorder="1" applyAlignment="1"/>
    <xf numFmtId="165" fontId="7" fillId="0" borderId="1" xfId="1" applyNumberFormat="1" applyFont="1" applyFill="1" applyBorder="1" applyAlignment="1"/>
    <xf numFmtId="0" fontId="9" fillId="0" borderId="1" xfId="0" applyFont="1" applyBorder="1"/>
    <xf numFmtId="0" fontId="9" fillId="0" borderId="2" xfId="0" applyFont="1" applyBorder="1"/>
    <xf numFmtId="0" fontId="9" fillId="0" borderId="3" xfId="0" applyFont="1" applyBorder="1"/>
    <xf numFmtId="41" fontId="9" fillId="0" borderId="1" xfId="0" applyNumberFormat="1" applyFont="1" applyBorder="1"/>
    <xf numFmtId="41" fontId="9" fillId="0" borderId="4" xfId="0" applyNumberFormat="1" applyFont="1" applyBorder="1"/>
    <xf numFmtId="10" fontId="9" fillId="0" borderId="1" xfId="3" applyNumberFormat="1" applyFont="1" applyBorder="1"/>
    <xf numFmtId="0" fontId="9" fillId="0" borderId="5" xfId="0" applyFont="1" applyBorder="1"/>
    <xf numFmtId="41" fontId="9" fillId="0" borderId="1" xfId="2" applyFont="1" applyBorder="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1" fontId="6" fillId="0" borderId="1" xfId="2" applyFont="1" applyBorder="1"/>
    <xf numFmtId="41" fontId="6" fillId="0" borderId="4" xfId="2" applyFont="1" applyBorder="1"/>
    <xf numFmtId="41" fontId="6" fillId="0" borderId="1" xfId="0" applyNumberFormat="1" applyFont="1" applyBorder="1"/>
    <xf numFmtId="41" fontId="9" fillId="0" borderId="0" xfId="0" applyNumberFormat="1" applyFont="1"/>
    <xf numFmtId="0" fontId="6" fillId="0" borderId="0" xfId="0" applyFont="1" applyAlignment="1">
      <alignment horizontal="center" vertical="center"/>
    </xf>
    <xf numFmtId="0" fontId="9" fillId="0" borderId="1" xfId="0" applyFont="1" applyBorder="1" applyAlignment="1">
      <alignment horizontal="center"/>
    </xf>
    <xf numFmtId="9" fontId="9" fillId="0" borderId="1" xfId="3" applyFont="1" applyBorder="1"/>
    <xf numFmtId="41" fontId="9" fillId="0" borderId="1" xfId="3" applyNumberFormat="1" applyFont="1" applyBorder="1"/>
    <xf numFmtId="164" fontId="3" fillId="0" borderId="1" xfId="3" applyNumberFormat="1" applyFont="1" applyBorder="1" applyAlignment="1">
      <alignment horizontal="center"/>
    </xf>
    <xf numFmtId="0" fontId="10" fillId="0" borderId="0" xfId="0" applyFont="1"/>
    <xf numFmtId="0" fontId="12" fillId="0" borderId="0" xfId="4" applyFont="1" applyAlignment="1" applyProtection="1">
      <alignment vertical="center" wrapText="1" readingOrder="1"/>
      <protection locked="0"/>
    </xf>
    <xf numFmtId="0" fontId="12" fillId="0" borderId="0" xfId="4" applyFont="1" applyAlignment="1">
      <alignment vertical="center"/>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9" fillId="0" borderId="1" xfId="0" applyFont="1" applyBorder="1"/>
    <xf numFmtId="0" fontId="19" fillId="0" borderId="1" xfId="0" applyFont="1" applyBorder="1" applyAlignment="1">
      <alignment horizontal="center" vertical="center"/>
    </xf>
    <xf numFmtId="41" fontId="19" fillId="0" borderId="1" xfId="2" applyFont="1" applyFill="1" applyBorder="1"/>
    <xf numFmtId="10" fontId="19" fillId="0" borderId="1" xfId="3" applyNumberFormat="1" applyFont="1" applyFill="1" applyBorder="1"/>
    <xf numFmtId="0" fontId="18" fillId="0" borderId="1" xfId="0" applyFont="1" applyBorder="1"/>
    <xf numFmtId="41" fontId="18" fillId="0" borderId="1" xfId="2" applyFont="1" applyFill="1" applyBorder="1" applyAlignment="1">
      <alignment horizontal="center" vertical="center"/>
    </xf>
    <xf numFmtId="10" fontId="18" fillId="0" borderId="1" xfId="3" applyNumberFormat="1" applyFont="1" applyFill="1" applyBorder="1"/>
    <xf numFmtId="10" fontId="18" fillId="0" borderId="0" xfId="3" applyNumberFormat="1" applyFont="1" applyFill="1" applyBorder="1"/>
    <xf numFmtId="0" fontId="19" fillId="0" borderId="0" xfId="0" applyFont="1"/>
    <xf numFmtId="0" fontId="12" fillId="0" borderId="0" xfId="4" applyFont="1" applyAlignment="1" applyProtection="1">
      <alignment vertical="center" readingOrder="1"/>
      <protection locked="0"/>
    </xf>
    <xf numFmtId="0" fontId="16" fillId="0" borderId="7" xfId="0" applyFont="1" applyBorder="1" applyAlignment="1" applyProtection="1">
      <alignment horizontal="centerContinuous" vertical="center" wrapText="1" readingOrder="1"/>
      <protection locked="0"/>
    </xf>
    <xf numFmtId="0" fontId="12" fillId="0" borderId="0" xfId="4" applyFont="1" applyAlignment="1" applyProtection="1">
      <alignment vertical="center"/>
      <protection locked="0"/>
    </xf>
    <xf numFmtId="0" fontId="20" fillId="0" borderId="0" xfId="0" applyFont="1" applyAlignment="1" applyProtection="1">
      <alignment vertical="top" readingOrder="1"/>
      <protection locked="0"/>
    </xf>
    <xf numFmtId="0" fontId="12" fillId="0" borderId="9" xfId="0" applyFont="1" applyBorder="1" applyAlignment="1" applyProtection="1">
      <alignment horizontal="centerContinuous" vertical="center"/>
      <protection locked="0"/>
    </xf>
    <xf numFmtId="0" fontId="16" fillId="0" borderId="11" xfId="0" applyFont="1" applyBorder="1" applyAlignment="1" applyProtection="1">
      <alignment horizontal="center" vertical="center" readingOrder="1"/>
      <protection locked="0"/>
    </xf>
    <xf numFmtId="0" fontId="12" fillId="0" borderId="0" xfId="8" applyFont="1" applyAlignment="1">
      <alignment vertical="center"/>
    </xf>
    <xf numFmtId="0" fontId="12" fillId="0" borderId="0" xfId="9" applyFont="1" applyAlignment="1">
      <alignment vertical="center"/>
    </xf>
    <xf numFmtId="0" fontId="12" fillId="0" borderId="0" xfId="9" applyFont="1" applyAlignment="1" applyProtection="1">
      <alignment vertical="center" readingOrder="1"/>
      <protection locked="0"/>
    </xf>
    <xf numFmtId="0" fontId="21" fillId="0" borderId="0" xfId="10"/>
    <xf numFmtId="0" fontId="9" fillId="0" borderId="0" xfId="0" applyFont="1"/>
    <xf numFmtId="0" fontId="6" fillId="4" borderId="15" xfId="0" applyFont="1" applyFill="1" applyBorder="1" applyAlignment="1">
      <alignment horizontal="left"/>
    </xf>
    <xf numFmtId="3" fontId="2" fillId="4" borderId="15" xfId="0" applyNumberFormat="1" applyFont="1" applyFill="1" applyBorder="1" applyAlignment="1">
      <alignment wrapText="1"/>
    </xf>
    <xf numFmtId="0" fontId="9" fillId="0" borderId="0" xfId="0" applyFont="1" applyAlignment="1">
      <alignment horizontal="left"/>
    </xf>
    <xf numFmtId="3" fontId="0" fillId="0" borderId="0" xfId="0" applyNumberFormat="1"/>
    <xf numFmtId="0" fontId="0" fillId="0" borderId="0" xfId="0" applyAlignment="1">
      <alignment horizontal="left"/>
    </xf>
    <xf numFmtId="0" fontId="2" fillId="4" borderId="15" xfId="0" applyFont="1" applyFill="1" applyBorder="1" applyAlignment="1">
      <alignment horizontal="left"/>
    </xf>
    <xf numFmtId="3" fontId="2" fillId="4" borderId="15" xfId="0" applyNumberFormat="1" applyFont="1" applyFill="1" applyBorder="1"/>
    <xf numFmtId="168" fontId="18" fillId="0" borderId="1" xfId="2" applyNumberFormat="1" applyFont="1" applyFill="1" applyBorder="1" applyAlignment="1">
      <alignment horizontal="center" vertical="center"/>
    </xf>
    <xf numFmtId="0" fontId="23" fillId="0" borderId="0" xfId="4" applyFont="1" applyAlignment="1" applyProtection="1">
      <alignment vertical="center" readingOrder="1"/>
      <protection locked="0"/>
    </xf>
    <xf numFmtId="0" fontId="22" fillId="5" borderId="4" xfId="4" applyFont="1" applyFill="1" applyBorder="1" applyAlignment="1" applyProtection="1">
      <alignment vertical="center" readingOrder="1"/>
      <protection locked="0"/>
    </xf>
    <xf numFmtId="0" fontId="23" fillId="0" borderId="0" xfId="0" applyFont="1" applyAlignment="1" applyProtection="1">
      <alignment vertical="center" readingOrder="1"/>
      <protection locked="0"/>
    </xf>
    <xf numFmtId="0" fontId="0" fillId="0" borderId="0" xfId="0" applyAlignment="1" applyProtection="1">
      <alignment vertical="center"/>
      <protection locked="0"/>
    </xf>
    <xf numFmtId="0" fontId="12" fillId="0" borderId="0" xfId="0" applyFont="1" applyAlignment="1">
      <alignment vertical="center"/>
    </xf>
    <xf numFmtId="0" fontId="12" fillId="0" borderId="0" xfId="0" applyFont="1"/>
    <xf numFmtId="0" fontId="16" fillId="0" borderId="9" xfId="0" applyFont="1" applyBorder="1" applyAlignment="1" applyProtection="1">
      <alignment horizontal="centerContinuous" vertical="center" readingOrder="1"/>
      <protection locked="0"/>
    </xf>
    <xf numFmtId="0" fontId="16" fillId="5" borderId="16" xfId="0" applyFont="1" applyFill="1" applyBorder="1" applyAlignment="1" applyProtection="1">
      <alignment horizontal="center" vertical="top" readingOrder="1"/>
      <protection locked="0"/>
    </xf>
    <xf numFmtId="0" fontId="16" fillId="0" borderId="17" xfId="0" applyFont="1" applyBorder="1" applyAlignment="1" applyProtection="1">
      <alignment horizontal="center" vertical="center" readingOrder="1"/>
      <protection locked="0"/>
    </xf>
    <xf numFmtId="0" fontId="25" fillId="0" borderId="0" xfId="0" applyFont="1" applyAlignment="1" applyProtection="1">
      <alignment vertical="center"/>
      <protection locked="0"/>
    </xf>
    <xf numFmtId="0" fontId="12" fillId="0" borderId="13"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22" fillId="0" borderId="0" xfId="9" applyFont="1" applyAlignment="1" applyProtection="1">
      <alignment vertical="center" readingOrder="1"/>
      <protection locked="0"/>
    </xf>
    <xf numFmtId="0" fontId="23" fillId="0" borderId="0" xfId="9" applyFont="1" applyAlignment="1" applyProtection="1">
      <alignment vertical="center" readingOrder="1"/>
      <protection locked="0"/>
    </xf>
    <xf numFmtId="0" fontId="16" fillId="0" borderId="10" xfId="0" applyFont="1" applyBorder="1" applyAlignment="1" applyProtection="1">
      <alignment horizontal="center" vertical="top" readingOrder="1"/>
      <protection locked="0"/>
    </xf>
    <xf numFmtId="0" fontId="13" fillId="5" borderId="4" xfId="4" applyFont="1" applyFill="1" applyBorder="1" applyAlignment="1" applyProtection="1">
      <alignment vertical="center" readingOrder="1"/>
      <protection locked="0"/>
    </xf>
    <xf numFmtId="0" fontId="22" fillId="0" borderId="8" xfId="4" applyFont="1" applyBorder="1" applyAlignment="1" applyProtection="1">
      <alignment horizontal="centerContinuous" vertical="center" wrapText="1" readingOrder="1"/>
      <protection locked="0"/>
    </xf>
    <xf numFmtId="0" fontId="12" fillId="0" borderId="9" xfId="0" applyFont="1" applyBorder="1" applyAlignment="1" applyProtection="1">
      <alignment horizontal="centerContinuous" vertical="center" wrapText="1"/>
      <protection locked="0"/>
    </xf>
    <xf numFmtId="0" fontId="22" fillId="0" borderId="4" xfId="9" applyFont="1" applyBorder="1" applyAlignment="1" applyProtection="1">
      <alignment horizontal="center" vertical="center" readingOrder="1"/>
      <protection locked="0"/>
    </xf>
    <xf numFmtId="0" fontId="19" fillId="6" borderId="1" xfId="0" applyFont="1" applyFill="1" applyBorder="1"/>
    <xf numFmtId="0" fontId="19" fillId="6" borderId="1" xfId="0" applyFont="1" applyFill="1" applyBorder="1" applyAlignment="1">
      <alignment horizontal="center" vertical="center"/>
    </xf>
    <xf numFmtId="41" fontId="19" fillId="6" borderId="1" xfId="2" applyFont="1" applyFill="1" applyBorder="1"/>
    <xf numFmtId="10" fontId="19" fillId="6" borderId="1" xfId="3" applyNumberFormat="1" applyFont="1" applyFill="1" applyBorder="1"/>
    <xf numFmtId="0" fontId="22" fillId="0" borderId="0" xfId="9" applyFont="1" applyAlignment="1" applyProtection="1">
      <alignment horizontal="left" vertical="center" readingOrder="1"/>
      <protection locked="0"/>
    </xf>
    <xf numFmtId="3" fontId="22" fillId="0" borderId="0" xfId="9" applyNumberFormat="1" applyFont="1" applyAlignment="1" applyProtection="1">
      <alignment horizontal="left" vertical="center" readingOrder="1"/>
      <protection locked="0"/>
    </xf>
    <xf numFmtId="3" fontId="22" fillId="0" borderId="0" xfId="6" applyNumberFormat="1" applyFont="1" applyFill="1" applyBorder="1" applyAlignment="1" applyProtection="1">
      <alignment horizontal="right" vertical="center" readingOrder="1"/>
    </xf>
    <xf numFmtId="3" fontId="23" fillId="0" borderId="0" xfId="9" applyNumberFormat="1" applyFont="1" applyAlignment="1" applyProtection="1">
      <alignment horizontal="left" vertical="center" readingOrder="1"/>
      <protection locked="0"/>
    </xf>
    <xf numFmtId="3" fontId="23" fillId="0" borderId="0" xfId="9" applyNumberFormat="1" applyFont="1" applyAlignment="1" applyProtection="1">
      <alignment horizontal="right" vertical="center" readingOrder="1"/>
      <protection locked="0"/>
    </xf>
    <xf numFmtId="3" fontId="23" fillId="0" borderId="0" xfId="6" applyNumberFormat="1" applyFont="1" applyFill="1" applyBorder="1" applyAlignment="1" applyProtection="1">
      <alignment horizontal="right" vertical="center" readingOrder="1"/>
    </xf>
    <xf numFmtId="3" fontId="12" fillId="0" borderId="0" xfId="9" applyNumberFormat="1" applyFont="1" applyAlignment="1" applyProtection="1">
      <alignment horizontal="left" vertical="center" readingOrder="1"/>
      <protection locked="0"/>
    </xf>
    <xf numFmtId="0" fontId="12" fillId="0" borderId="0" xfId="4" applyFont="1" applyAlignment="1" applyProtection="1">
      <alignment horizontal="left" vertical="center" readingOrder="1"/>
      <protection locked="0"/>
    </xf>
    <xf numFmtId="0" fontId="23" fillId="0" borderId="0" xfId="0" applyFont="1" applyAlignment="1" applyProtection="1">
      <alignment horizontal="left" vertical="center" readingOrder="1"/>
      <protection locked="0"/>
    </xf>
    <xf numFmtId="0" fontId="12" fillId="0" borderId="0" xfId="9" applyFont="1" applyAlignment="1" applyProtection="1">
      <alignment horizontal="left" vertical="center" readingOrder="1"/>
      <protection locked="0"/>
    </xf>
    <xf numFmtId="0" fontId="22" fillId="0" borderId="19" xfId="9" applyFont="1" applyBorder="1" applyAlignment="1" applyProtection="1">
      <alignment horizontal="centerContinuous" vertical="center" readingOrder="1"/>
      <protection locked="0"/>
    </xf>
    <xf numFmtId="0" fontId="12" fillId="0" borderId="20" xfId="9" applyFont="1" applyBorder="1" applyAlignment="1" applyProtection="1">
      <alignment horizontal="centerContinuous" vertical="center"/>
      <protection locked="0"/>
    </xf>
    <xf numFmtId="0" fontId="22" fillId="0" borderId="21" xfId="0" applyFont="1" applyBorder="1" applyAlignment="1" applyProtection="1">
      <alignment horizontal="centerContinuous" vertical="center" readingOrder="1"/>
      <protection locked="0"/>
    </xf>
    <xf numFmtId="0" fontId="25" fillId="0" borderId="22" xfId="0" applyFont="1" applyBorder="1" applyAlignment="1" applyProtection="1">
      <alignment horizontal="centerContinuous" vertical="center"/>
      <protection locked="0"/>
    </xf>
    <xf numFmtId="0" fontId="22" fillId="0" borderId="23" xfId="0" applyFont="1" applyBorder="1" applyAlignment="1" applyProtection="1">
      <alignment horizontal="centerContinuous" vertical="center" wrapText="1" readingOrder="1"/>
      <protection locked="0"/>
    </xf>
    <xf numFmtId="0" fontId="25" fillId="0" borderId="24" xfId="0" applyFont="1" applyBorder="1" applyAlignment="1" applyProtection="1">
      <alignment horizontal="centerContinuous" vertical="center"/>
      <protection locked="0"/>
    </xf>
    <xf numFmtId="0" fontId="22" fillId="0" borderId="23" xfId="0" applyFont="1" applyBorder="1" applyAlignment="1" applyProtection="1">
      <alignment horizontal="centerContinuous" vertical="center" readingOrder="1"/>
      <protection locked="0"/>
    </xf>
    <xf numFmtId="0" fontId="25" fillId="0" borderId="25" xfId="0" applyFont="1" applyBorder="1" applyAlignment="1" applyProtection="1">
      <alignment horizontal="centerContinuous" vertical="center" readingOrder="1"/>
      <protection locked="0"/>
    </xf>
    <xf numFmtId="0" fontId="13" fillId="0" borderId="0" xfId="4" applyFont="1" applyAlignment="1" applyProtection="1">
      <alignment horizontal="left" vertical="center" readingOrder="1"/>
      <protection locked="0"/>
    </xf>
    <xf numFmtId="0" fontId="13" fillId="0" borderId="26" xfId="4" applyFont="1" applyBorder="1" applyAlignment="1" applyProtection="1">
      <alignment horizontal="centerContinuous" vertical="center" readingOrder="1"/>
      <protection locked="0"/>
    </xf>
    <xf numFmtId="0" fontId="12" fillId="0" borderId="25" xfId="4" applyFont="1" applyBorder="1" applyAlignment="1" applyProtection="1">
      <alignment horizontal="centerContinuous" vertical="center"/>
      <protection locked="0"/>
    </xf>
    <xf numFmtId="0" fontId="13" fillId="0" borderId="27" xfId="4" applyFont="1" applyBorder="1" applyAlignment="1" applyProtection="1">
      <alignment horizontal="centerContinuous" vertical="center" wrapText="1" readingOrder="1"/>
      <protection locked="0"/>
    </xf>
    <xf numFmtId="0" fontId="13" fillId="0" borderId="27" xfId="4" applyFont="1" applyBorder="1" applyAlignment="1" applyProtection="1">
      <alignment horizontal="centerContinuous" vertical="center" readingOrder="1"/>
      <protection locked="0"/>
    </xf>
    <xf numFmtId="0" fontId="13" fillId="0" borderId="25" xfId="4" applyFont="1" applyBorder="1" applyAlignment="1" applyProtection="1">
      <alignment horizontal="center" vertical="center" readingOrder="1"/>
      <protection locked="0"/>
    </xf>
    <xf numFmtId="0" fontId="13" fillId="0" borderId="27" xfId="4" applyFont="1" applyBorder="1" applyAlignment="1" applyProtection="1">
      <alignment horizontal="center" vertical="center" readingOrder="1"/>
      <protection locked="0"/>
    </xf>
    <xf numFmtId="169" fontId="13" fillId="0" borderId="0" xfId="5" applyNumberFormat="1" applyFont="1" applyFill="1" applyBorder="1" applyAlignment="1" applyProtection="1">
      <alignment horizontal="right" vertical="center" readingOrder="1"/>
    </xf>
    <xf numFmtId="0" fontId="12" fillId="0" borderId="0" xfId="4" applyFont="1" applyAlignment="1">
      <alignment horizontal="right" vertical="center"/>
    </xf>
    <xf numFmtId="169" fontId="12" fillId="0" borderId="0" xfId="5" applyNumberFormat="1" applyFont="1" applyFill="1" applyBorder="1" applyAlignment="1" applyProtection="1">
      <alignment horizontal="right" vertical="center" readingOrder="1"/>
      <protection locked="0"/>
    </xf>
    <xf numFmtId="169" fontId="23" fillId="0" borderId="0" xfId="2" applyNumberFormat="1" applyFont="1" applyFill="1" applyBorder="1" applyAlignment="1" applyProtection="1">
      <alignment horizontal="right" vertical="top" wrapText="1" readingOrder="1"/>
      <protection locked="0"/>
    </xf>
    <xf numFmtId="169" fontId="12" fillId="0" borderId="0" xfId="5" applyNumberFormat="1" applyFont="1" applyFill="1" applyBorder="1" applyAlignment="1" applyProtection="1">
      <alignment horizontal="right" vertical="center" readingOrder="1"/>
    </xf>
    <xf numFmtId="169" fontId="12" fillId="0" borderId="0" xfId="4" applyNumberFormat="1" applyFont="1" applyAlignment="1">
      <alignment horizontal="right" vertical="center"/>
    </xf>
    <xf numFmtId="0" fontId="12" fillId="0" borderId="0" xfId="0" applyFont="1" applyAlignment="1" applyProtection="1">
      <alignment horizontal="left" vertical="center" readingOrder="1"/>
      <protection locked="0"/>
    </xf>
    <xf numFmtId="0" fontId="22" fillId="0" borderId="0" xfId="4" applyFont="1" applyAlignment="1" applyProtection="1">
      <alignment horizontal="left" vertical="center" readingOrder="1"/>
      <protection locked="0"/>
    </xf>
    <xf numFmtId="0" fontId="22" fillId="0" borderId="27" xfId="4" applyFont="1" applyBorder="1" applyAlignment="1" applyProtection="1">
      <alignment horizontal="centerContinuous" vertical="center" readingOrder="1"/>
      <protection locked="0"/>
    </xf>
    <xf numFmtId="0" fontId="12" fillId="0" borderId="27" xfId="4" applyFont="1" applyBorder="1" applyAlignment="1" applyProtection="1">
      <alignment horizontal="centerContinuous" vertical="center"/>
      <protection locked="0"/>
    </xf>
    <xf numFmtId="0" fontId="22" fillId="0" borderId="27" xfId="4" applyFont="1" applyBorder="1" applyAlignment="1" applyProtection="1">
      <alignment horizontal="centerContinuous" vertical="center" wrapText="1" readingOrder="1"/>
      <protection locked="0"/>
    </xf>
    <xf numFmtId="0" fontId="12" fillId="0" borderId="27" xfId="4" applyFont="1" applyBorder="1" applyAlignment="1" applyProtection="1">
      <alignment horizontal="centerContinuous" vertical="center" wrapText="1" readingOrder="1"/>
      <protection locked="0"/>
    </xf>
    <xf numFmtId="0" fontId="22" fillId="0" borderId="27" xfId="4" applyFont="1" applyBorder="1" applyAlignment="1" applyProtection="1">
      <alignment horizontal="center" vertical="center" readingOrder="1"/>
      <protection locked="0"/>
    </xf>
    <xf numFmtId="169" fontId="22" fillId="0" borderId="0" xfId="6" applyNumberFormat="1" applyFont="1" applyFill="1" applyBorder="1" applyAlignment="1" applyProtection="1">
      <alignment horizontal="right" vertical="center" readingOrder="1"/>
    </xf>
    <xf numFmtId="0" fontId="23" fillId="0" borderId="0" xfId="4" applyFont="1" applyAlignment="1" applyProtection="1">
      <alignment horizontal="left" vertical="center" readingOrder="1"/>
      <protection locked="0"/>
    </xf>
    <xf numFmtId="169" fontId="23" fillId="0" borderId="0" xfId="6" applyNumberFormat="1" applyFont="1" applyFill="1" applyBorder="1" applyAlignment="1" applyProtection="1">
      <alignment horizontal="right" vertical="center" readingOrder="1"/>
      <protection locked="0"/>
    </xf>
    <xf numFmtId="0" fontId="16" fillId="0" borderId="0" xfId="0" applyFont="1" applyAlignment="1" applyProtection="1">
      <alignment horizontal="left" vertical="center" readingOrder="1"/>
      <protection locked="0"/>
    </xf>
    <xf numFmtId="0" fontId="16" fillId="0" borderId="9" xfId="0" applyFont="1" applyBorder="1" applyAlignment="1" applyProtection="1">
      <alignment horizontal="centerContinuous" vertical="center" wrapText="1" readingOrder="1"/>
      <protection locked="0"/>
    </xf>
    <xf numFmtId="41" fontId="13" fillId="0" borderId="27" xfId="0" applyNumberFormat="1" applyFont="1" applyBorder="1" applyAlignment="1">
      <alignment horizontal="centerContinuous" vertical="center" wrapText="1"/>
    </xf>
    <xf numFmtId="41" fontId="13" fillId="0" borderId="27" xfId="0" applyNumberFormat="1" applyFont="1" applyBorder="1" applyAlignment="1">
      <alignment horizontal="centerContinuous" vertical="center"/>
    </xf>
    <xf numFmtId="0" fontId="16" fillId="0" borderId="18" xfId="0" applyFont="1" applyBorder="1" applyAlignment="1" applyProtection="1">
      <alignment horizontal="left" vertical="center" readingOrder="1"/>
      <protection locked="0"/>
    </xf>
    <xf numFmtId="3" fontId="16" fillId="0" borderId="12" xfId="7" applyNumberFormat="1" applyFont="1" applyFill="1" applyBorder="1" applyAlignment="1" applyProtection="1">
      <alignment horizontal="right" vertical="center" readingOrder="1"/>
    </xf>
    <xf numFmtId="0" fontId="20" fillId="0" borderId="12" xfId="0" applyFont="1" applyBorder="1" applyAlignment="1" applyProtection="1">
      <alignment horizontal="left" vertical="center" readingOrder="1"/>
      <protection locked="0"/>
    </xf>
    <xf numFmtId="3" fontId="20" fillId="0" borderId="12" xfId="7" applyNumberFormat="1" applyFont="1" applyFill="1" applyBorder="1" applyAlignment="1" applyProtection="1">
      <alignment horizontal="right" vertical="center" readingOrder="1"/>
      <protection locked="0"/>
    </xf>
    <xf numFmtId="3" fontId="20" fillId="0" borderId="12" xfId="7" applyNumberFormat="1" applyFont="1" applyFill="1" applyBorder="1" applyAlignment="1" applyProtection="1">
      <alignment horizontal="right" vertical="center" readingOrder="1"/>
    </xf>
    <xf numFmtId="41" fontId="0" fillId="0" borderId="0" xfId="0" applyNumberFormat="1"/>
    <xf numFmtId="0" fontId="17" fillId="3" borderId="1" xfId="0" applyFont="1" applyFill="1" applyBorder="1" applyAlignment="1">
      <alignment horizontal="center"/>
    </xf>
    <xf numFmtId="0" fontId="13" fillId="3" borderId="6" xfId="4" applyFont="1" applyFill="1" applyBorder="1" applyAlignment="1" applyProtection="1">
      <alignment horizontal="center" vertical="center" wrapText="1" readingOrder="1"/>
      <protection locked="0"/>
    </xf>
    <xf numFmtId="0" fontId="13" fillId="3" borderId="2" xfId="4" applyFont="1" applyFill="1" applyBorder="1" applyAlignment="1" applyProtection="1">
      <alignment horizontal="center" vertical="center" wrapText="1" readingOrder="1"/>
      <protection locked="0"/>
    </xf>
    <xf numFmtId="0" fontId="16" fillId="3" borderId="6" xfId="0" applyFont="1" applyFill="1" applyBorder="1" applyAlignment="1" applyProtection="1">
      <alignment horizontal="center" vertical="center" wrapText="1" readingOrder="1"/>
      <protection locked="0"/>
    </xf>
    <xf numFmtId="0" fontId="16" fillId="3" borderId="2" xfId="0" applyFont="1" applyFill="1" applyBorder="1" applyAlignment="1" applyProtection="1">
      <alignment horizontal="center" vertical="center" wrapText="1" readingOrder="1"/>
      <protection locked="0"/>
    </xf>
    <xf numFmtId="0" fontId="17" fillId="3" borderId="6" xfId="0" applyFont="1" applyFill="1" applyBorder="1" applyAlignment="1">
      <alignment horizontal="center" vertical="center"/>
    </xf>
    <xf numFmtId="0" fontId="17" fillId="3" borderId="2"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49" fontId="27" fillId="0" borderId="0" xfId="0" applyNumberFormat="1" applyFont="1" applyAlignment="1">
      <alignment vertical="center"/>
    </xf>
    <xf numFmtId="0" fontId="4" fillId="7" borderId="27" xfId="0" applyFont="1" applyFill="1" applyBorder="1" applyAlignment="1">
      <alignment horizontal="center" vertical="center"/>
    </xf>
    <xf numFmtId="0" fontId="4" fillId="7" borderId="27" xfId="0" applyFont="1" applyFill="1" applyBorder="1" applyAlignment="1">
      <alignment horizontal="center" vertical="center" wrapText="1"/>
    </xf>
    <xf numFmtId="41" fontId="6" fillId="0" borderId="27" xfId="0" applyNumberFormat="1" applyFont="1" applyFill="1" applyBorder="1"/>
    <xf numFmtId="41" fontId="0" fillId="0" borderId="27" xfId="0" applyNumberFormat="1" applyBorder="1"/>
  </cellXfs>
  <cellStyles count="11">
    <cellStyle name="Hipervínculo" xfId="10" builtinId="8"/>
    <cellStyle name="Millares" xfId="1" builtinId="3"/>
    <cellStyle name="Millares [0]" xfId="2" builtinId="6"/>
    <cellStyle name="Millares [0] 3" xfId="7" xr:uid="{30E8479A-CF42-4F86-AD53-CA754816994D}"/>
    <cellStyle name="Millares 11 2" xfId="6" xr:uid="{BA752040-EA37-4653-99B2-A59C6EF96454}"/>
    <cellStyle name="Millares 5" xfId="5" xr:uid="{2259B941-45A9-4E06-B30A-C7D3F30C0E37}"/>
    <cellStyle name="Normal" xfId="0" builtinId="0"/>
    <cellStyle name="Normal 10" xfId="4" xr:uid="{7D300921-DAC1-453A-9728-162142AE5B38}"/>
    <cellStyle name="Normal 2 18" xfId="8" xr:uid="{3B13FEE2-4F80-41BA-B18B-C5C44A9C9CCA}"/>
    <cellStyle name="Normal 44" xfId="9" xr:uid="{1AF0E4D1-BACA-4BE8-9DCC-4AF02B273FC8}"/>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928606</xdr:colOff>
      <xdr:row>1</xdr:row>
      <xdr:rowOff>18769</xdr:rowOff>
    </xdr:to>
    <xdr:pic>
      <xdr:nvPicPr>
        <xdr:cNvPr id="8" name="Imagen 7">
          <a:extLst>
            <a:ext uri="{FF2B5EF4-FFF2-40B4-BE49-F238E27FC236}">
              <a16:creationId xmlns:a16="http://schemas.microsoft.com/office/drawing/2014/main" id="{B1FE6BF7-C8D9-1056-78DD-304E843A6E17}"/>
            </a:ext>
          </a:extLst>
        </xdr:cNvPr>
        <xdr:cNvPicPr>
          <a:picLocks noChangeAspect="1"/>
        </xdr:cNvPicPr>
      </xdr:nvPicPr>
      <xdr:blipFill>
        <a:blip xmlns:r="http://schemas.openxmlformats.org/officeDocument/2006/relationships" r:embed="rId1"/>
        <a:stretch>
          <a:fillRect/>
        </a:stretch>
      </xdr:blipFill>
      <xdr:spPr>
        <a:xfrm>
          <a:off x="19050" y="0"/>
          <a:ext cx="1261981" cy="115224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censo2017.cl/descargas/home/sintesis-de-resultados-censo201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090-A3C7-43D2-A5F7-71CDAD3C9810}">
  <dimension ref="A1:M58"/>
  <sheetViews>
    <sheetView tabSelected="1" workbookViewId="0">
      <selection activeCell="P36" sqref="P36"/>
    </sheetView>
  </sheetViews>
  <sheetFormatPr baseColWidth="10" defaultRowHeight="15" x14ac:dyDescent="0.25"/>
  <cols>
    <col min="1" max="1" width="5.28515625" customWidth="1"/>
    <col min="2" max="2" width="26.85546875" customWidth="1"/>
    <col min="6" max="6" width="11.42578125" customWidth="1"/>
  </cols>
  <sheetData>
    <row r="1" spans="1:4" ht="89.25" customHeight="1" x14ac:dyDescent="0.25"/>
    <row r="2" spans="1:4" ht="18.75" x14ac:dyDescent="0.25">
      <c r="A2" s="146" t="s">
        <v>12</v>
      </c>
    </row>
    <row r="3" spans="1:4" ht="18.75" x14ac:dyDescent="0.25">
      <c r="A3" s="146" t="s">
        <v>13</v>
      </c>
    </row>
    <row r="4" spans="1:4" ht="17.25" x14ac:dyDescent="0.25">
      <c r="A4" s="147" t="s">
        <v>144</v>
      </c>
    </row>
    <row r="5" spans="1:4" x14ac:dyDescent="0.25">
      <c r="A5" s="148" t="s">
        <v>145</v>
      </c>
    </row>
    <row r="6" spans="1:4" x14ac:dyDescent="0.25">
      <c r="A6" s="149" t="s">
        <v>146</v>
      </c>
    </row>
    <row r="7" spans="1:4" ht="6.75" customHeight="1" x14ac:dyDescent="0.25"/>
    <row r="8" spans="1:4" ht="24" x14ac:dyDescent="0.25">
      <c r="B8" s="144" t="s">
        <v>14</v>
      </c>
      <c r="C8" s="145" t="s">
        <v>107</v>
      </c>
    </row>
    <row r="9" spans="1:4" x14ac:dyDescent="0.25">
      <c r="B9" s="2" t="s">
        <v>15</v>
      </c>
      <c r="C9" s="9">
        <v>4125993</v>
      </c>
    </row>
    <row r="10" spans="1:4" x14ac:dyDescent="0.25">
      <c r="B10" s="2" t="s">
        <v>16</v>
      </c>
      <c r="C10" s="9">
        <v>0</v>
      </c>
    </row>
    <row r="11" spans="1:4" x14ac:dyDescent="0.25">
      <c r="B11" s="8" t="s">
        <v>17</v>
      </c>
      <c r="C11" s="10">
        <f>SUM(C9:C10)</f>
        <v>4125993</v>
      </c>
    </row>
    <row r="12" spans="1:4" ht="6" customHeight="1" x14ac:dyDescent="0.25"/>
    <row r="13" spans="1:4" x14ac:dyDescent="0.25">
      <c r="B13" s="144" t="s">
        <v>0</v>
      </c>
      <c r="C13" s="144" t="s">
        <v>1</v>
      </c>
      <c r="D13" s="144" t="s">
        <v>2</v>
      </c>
    </row>
    <row r="14" spans="1:4" x14ac:dyDescent="0.25">
      <c r="B14" s="2" t="s">
        <v>3</v>
      </c>
      <c r="C14" s="3">
        <v>0.4</v>
      </c>
      <c r="D14" s="4">
        <f t="shared" ref="D14:D19" si="0">$C$11*C14</f>
        <v>1650397.2000000002</v>
      </c>
    </row>
    <row r="15" spans="1:4" x14ac:dyDescent="0.25">
      <c r="B15" s="2" t="s">
        <v>4</v>
      </c>
      <c r="C15" s="3">
        <v>0.15</v>
      </c>
      <c r="D15" s="4">
        <f t="shared" si="0"/>
        <v>618898.94999999995</v>
      </c>
    </row>
    <row r="16" spans="1:4" x14ac:dyDescent="0.25">
      <c r="B16" s="2" t="s">
        <v>5</v>
      </c>
      <c r="C16" s="3">
        <v>0.1</v>
      </c>
      <c r="D16" s="4">
        <f t="shared" si="0"/>
        <v>412599.30000000005</v>
      </c>
    </row>
    <row r="17" spans="1:13" x14ac:dyDescent="0.25">
      <c r="B17" s="2" t="s">
        <v>6</v>
      </c>
      <c r="C17" s="3">
        <v>2.5000000000000001E-2</v>
      </c>
      <c r="D17" s="4">
        <f t="shared" si="0"/>
        <v>103149.82500000001</v>
      </c>
    </row>
    <row r="18" spans="1:13" x14ac:dyDescent="0.25">
      <c r="B18" s="2" t="s">
        <v>7</v>
      </c>
      <c r="C18" s="3">
        <v>2.5000000000000001E-2</v>
      </c>
      <c r="D18" s="4">
        <f t="shared" si="0"/>
        <v>103149.82500000001</v>
      </c>
    </row>
    <row r="19" spans="1:13" x14ac:dyDescent="0.25">
      <c r="B19" s="2" t="s">
        <v>8</v>
      </c>
      <c r="C19" s="3">
        <v>0.3</v>
      </c>
      <c r="D19" s="4">
        <f t="shared" si="0"/>
        <v>1237797.8999999999</v>
      </c>
    </row>
    <row r="20" spans="1:13" x14ac:dyDescent="0.25">
      <c r="B20" s="5" t="s">
        <v>9</v>
      </c>
      <c r="C20" s="6">
        <f>SUM(C14:C19)</f>
        <v>1</v>
      </c>
      <c r="D20" s="7">
        <f>SUM(D14:D19)</f>
        <v>4125993.0000000005</v>
      </c>
    </row>
    <row r="22" spans="1:13" x14ac:dyDescent="0.25">
      <c r="D22" s="29">
        <v>0.4</v>
      </c>
      <c r="E22" s="29">
        <v>0.15</v>
      </c>
      <c r="F22" s="29">
        <v>0.1</v>
      </c>
      <c r="G22" s="29">
        <v>2.5000000000000001E-2</v>
      </c>
      <c r="H22" s="29">
        <v>2.5000000000000001E-2</v>
      </c>
      <c r="I22" s="29">
        <v>0.3</v>
      </c>
    </row>
    <row r="23" spans="1:13" ht="60" x14ac:dyDescent="0.25">
      <c r="A23" s="150" t="s">
        <v>35</v>
      </c>
      <c r="B23" s="150" t="s">
        <v>10</v>
      </c>
      <c r="C23" s="150" t="s">
        <v>11</v>
      </c>
      <c r="D23" s="151" t="s">
        <v>147</v>
      </c>
      <c r="E23" s="151" t="s">
        <v>148</v>
      </c>
      <c r="F23" s="151" t="s">
        <v>149</v>
      </c>
      <c r="G23" s="151" t="s">
        <v>150</v>
      </c>
      <c r="H23" s="151" t="s">
        <v>151</v>
      </c>
      <c r="I23" s="151" t="s">
        <v>152</v>
      </c>
      <c r="J23" s="151" t="s">
        <v>153</v>
      </c>
      <c r="K23" s="151" t="s">
        <v>154</v>
      </c>
    </row>
    <row r="24" spans="1:13" x14ac:dyDescent="0.25">
      <c r="A24" s="11">
        <v>1</v>
      </c>
      <c r="B24" s="13" t="s">
        <v>18</v>
      </c>
      <c r="C24" s="17" t="s">
        <v>36</v>
      </c>
      <c r="D24" s="18">
        <f>VLOOKUP(C24,'Ser beneficiaria'!$C$5:$D$21,2,0)</f>
        <v>97082.188235294132</v>
      </c>
      <c r="E24" s="18">
        <f>VLOOKUP(C24,'Matrícula Pregrado'!$C$5:$F$21,4,0)</f>
        <v>44495.713566393082</v>
      </c>
      <c r="F24" s="18">
        <f>VLOOKUP(C24,'Matrícula Postgrado'!$C$5:$F$21,4,0)</f>
        <v>59437.575453324389</v>
      </c>
      <c r="G24" s="18">
        <f>VLOOKUP(C24,'Años Acreditación'!$C$5:$F$21,4,0)</f>
        <v>7281.1641176470594</v>
      </c>
      <c r="H24" s="18">
        <f>IFERROR(VLOOKUP(C24,'Áreas Acreditación'!$C$5:$F$21,4,0),0)</f>
        <v>7474.6250000000009</v>
      </c>
      <c r="I24" s="18">
        <f>VLOOKUP(C24,'Fondo por habitante'!$C$5:$G$21,5,0)</f>
        <v>134403.77175877517</v>
      </c>
      <c r="J24" s="23">
        <f>SUM(D24:I24)</f>
        <v>350175.03813143383</v>
      </c>
      <c r="K24" s="152">
        <f>ROUND(J24,0)</f>
        <v>350175</v>
      </c>
      <c r="L24" s="136"/>
      <c r="M24" s="136"/>
    </row>
    <row r="25" spans="1:13" x14ac:dyDescent="0.25">
      <c r="A25" s="11">
        <v>2</v>
      </c>
      <c r="B25" s="12" t="s">
        <v>19</v>
      </c>
      <c r="C25" s="17" t="s">
        <v>37</v>
      </c>
      <c r="D25" s="18">
        <f>VLOOKUP(C25,'Ser beneficiaria'!$C$5:$D$21,2,0)</f>
        <v>97082.188235294132</v>
      </c>
      <c r="E25" s="18">
        <f>VLOOKUP(C25,'Matrícula Pregrado'!$C$5:$F$21,4,0)</f>
        <v>38293.280766229203</v>
      </c>
      <c r="F25" s="18">
        <f>VLOOKUP(C25,'Matrícula Postgrado'!$C$5:$F$21,4,0)</f>
        <v>2355.3351578240431</v>
      </c>
      <c r="G25" s="18">
        <f>VLOOKUP(C25,'Años Acreditación'!$C$5:$F$21,4,0)</f>
        <v>6067.6367647058833</v>
      </c>
      <c r="H25" s="18">
        <f>IFERROR(VLOOKUP(C25,'Áreas Acreditación'!$C$5:$F$21,4,0),0)</f>
        <v>4484.7750000000005</v>
      </c>
      <c r="I25" s="18">
        <f>VLOOKUP(C25,'Fondo por habitante'!$C$5:$G$21,5,0)</f>
        <v>72674.264048430763</v>
      </c>
      <c r="J25" s="23">
        <f t="shared" ref="J25:J40" si="1">SUM(D25:I25)</f>
        <v>220957.479972484</v>
      </c>
      <c r="K25" s="152">
        <f t="shared" ref="K25:K40" si="2">ROUND(J25,0)</f>
        <v>220957</v>
      </c>
      <c r="L25" s="136"/>
      <c r="M25" s="136"/>
    </row>
    <row r="26" spans="1:13" x14ac:dyDescent="0.25">
      <c r="A26" s="11">
        <v>3</v>
      </c>
      <c r="B26" s="12" t="s">
        <v>20</v>
      </c>
      <c r="C26" s="17" t="s">
        <v>38</v>
      </c>
      <c r="D26" s="18">
        <f>VLOOKUP(C26,'Ser beneficiaria'!$C$5:$D$21,2,0)</f>
        <v>97082.188235294132</v>
      </c>
      <c r="E26" s="18">
        <f>VLOOKUP(C26,'Matrícula Pregrado'!$C$5:$F$21,4,0)</f>
        <v>45308.751480496336</v>
      </c>
      <c r="F26" s="18">
        <f>VLOOKUP(C26,'Matrícula Postgrado'!$C$5:$F$21,4,0)</f>
        <v>56112.396406984553</v>
      </c>
      <c r="G26" s="18">
        <f>VLOOKUP(C26,'Años Acreditación'!$C$5:$F$21,4,0)</f>
        <v>7281.1641176470594</v>
      </c>
      <c r="H26" s="18">
        <f>IFERROR(VLOOKUP(C26,'Áreas Acreditación'!$C$5:$F$21,4,0),0)</f>
        <v>7474.6250000000009</v>
      </c>
      <c r="I26" s="18">
        <f>VLOOKUP(C26,'Fondo por habitante'!$C$5:$G$21,5,0)</f>
        <v>137263.16553259114</v>
      </c>
      <c r="J26" s="23">
        <f t="shared" si="1"/>
        <v>350522.29077301326</v>
      </c>
      <c r="K26" s="152">
        <f t="shared" si="2"/>
        <v>350522</v>
      </c>
      <c r="L26" s="136"/>
      <c r="M26" s="136"/>
    </row>
    <row r="27" spans="1:13" x14ac:dyDescent="0.25">
      <c r="A27" s="11">
        <v>4</v>
      </c>
      <c r="B27" s="12" t="s">
        <v>21</v>
      </c>
      <c r="C27" s="17" t="s">
        <v>39</v>
      </c>
      <c r="D27" s="18">
        <f>VLOOKUP(C27,'Ser beneficiaria'!$C$5:$D$21,2,0)</f>
        <v>97082.188235294132</v>
      </c>
      <c r="E27" s="18">
        <f>VLOOKUP(C27,'Matrícula Pregrado'!$C$5:$F$21,4,0)</f>
        <v>44266.291976769891</v>
      </c>
      <c r="F27" s="18">
        <f>VLOOKUP(C27,'Matrícula Postgrado'!$C$5:$F$21,4,0)</f>
        <v>26324.334116856953</v>
      </c>
      <c r="G27" s="18">
        <f>VLOOKUP(C27,'Años Acreditación'!$C$5:$F$21,4,0)</f>
        <v>6067.6367647058833</v>
      </c>
      <c r="H27" s="18">
        <f>IFERROR(VLOOKUP(C27,'Áreas Acreditación'!$C$5:$F$21,4,0),0)</f>
        <v>7474.6250000000009</v>
      </c>
      <c r="I27" s="18">
        <f>VLOOKUP(C27,'Fondo por habitante'!$C$5:$G$21,5,0)</f>
        <v>154981.94358472343</v>
      </c>
      <c r="J27" s="23">
        <f t="shared" si="1"/>
        <v>336197.01967835031</v>
      </c>
      <c r="K27" s="152">
        <f t="shared" si="2"/>
        <v>336197</v>
      </c>
      <c r="L27" s="136"/>
      <c r="M27" s="136"/>
    </row>
    <row r="28" spans="1:13" x14ac:dyDescent="0.25">
      <c r="A28" s="11">
        <v>5</v>
      </c>
      <c r="B28" s="12" t="s">
        <v>22</v>
      </c>
      <c r="C28" s="17" t="s">
        <v>40</v>
      </c>
      <c r="D28" s="18">
        <f>VLOOKUP(C28,'Ser beneficiaria'!$C$5:$D$21,2,0)</f>
        <v>97082.188235294132</v>
      </c>
      <c r="E28" s="18">
        <f>VLOOKUP(C28,'Matrícula Pregrado'!$C$5:$F$21,4,0)</f>
        <v>90621.527901161506</v>
      </c>
      <c r="F28" s="18">
        <f>VLOOKUP(C28,'Matrícula Postgrado'!$C$5:$F$21,4,0)</f>
        <v>86523.929768300877</v>
      </c>
      <c r="G28" s="18">
        <f>VLOOKUP(C28,'Años Acreditación'!$C$5:$F$21,4,0)</f>
        <v>8494.6914705882355</v>
      </c>
      <c r="H28" s="18">
        <f>IFERROR(VLOOKUP(C28,'Áreas Acreditación'!$C$5:$F$21,4,0),0)</f>
        <v>7474.6250000000009</v>
      </c>
      <c r="I28" s="18">
        <f>VLOOKUP(C28,'Fondo por habitante'!$C$5:$G$21,5,0)</f>
        <v>19198.032170616851</v>
      </c>
      <c r="J28" s="23">
        <f t="shared" si="1"/>
        <v>309394.99454596156</v>
      </c>
      <c r="K28" s="152">
        <f t="shared" si="2"/>
        <v>309395</v>
      </c>
      <c r="L28" s="136"/>
      <c r="M28" s="136"/>
    </row>
    <row r="29" spans="1:13" x14ac:dyDescent="0.25">
      <c r="A29" s="11">
        <v>6</v>
      </c>
      <c r="B29" s="12" t="s">
        <v>23</v>
      </c>
      <c r="C29" s="17" t="s">
        <v>41</v>
      </c>
      <c r="D29" s="18">
        <f>VLOOKUP(C29,'Ser beneficiaria'!$C$5:$D$21,2,0)</f>
        <v>97082.188235294132</v>
      </c>
      <c r="E29" s="18">
        <f>VLOOKUP(C29,'Matrícula Pregrado'!$C$5:$F$21,4,0)</f>
        <v>28347.653609055316</v>
      </c>
      <c r="F29" s="18">
        <f>VLOOKUP(C29,'Matrícula Postgrado'!$C$5:$F$21,4,0)</f>
        <v>5541.9650772330424</v>
      </c>
      <c r="G29" s="18">
        <f>VLOOKUP(C29,'Años Acreditación'!$C$5:$F$21,4,0)</f>
        <v>6067.6367647058833</v>
      </c>
      <c r="H29" s="18">
        <f>IFERROR(VLOOKUP(C29,'Áreas Acreditación'!$C$5:$F$21,4,0),0)</f>
        <v>7474.6250000000009</v>
      </c>
      <c r="I29" s="18">
        <f>VLOOKUP(C29,'Fondo por habitante'!$C$5:$G$21,5,0)</f>
        <v>130871.56018528267</v>
      </c>
      <c r="J29" s="23">
        <f t="shared" si="1"/>
        <v>275385.62887157104</v>
      </c>
      <c r="K29" s="152">
        <f t="shared" si="2"/>
        <v>275386</v>
      </c>
      <c r="L29" s="136"/>
      <c r="M29" s="136"/>
    </row>
    <row r="30" spans="1:13" x14ac:dyDescent="0.25">
      <c r="A30" s="11">
        <v>7</v>
      </c>
      <c r="B30" s="12" t="s">
        <v>24</v>
      </c>
      <c r="C30" s="17" t="s">
        <v>42</v>
      </c>
      <c r="D30" s="18">
        <f>VLOOKUP(C30,'Ser beneficiaria'!$C$5:$D$21,2,0)</f>
        <v>97082.188235294132</v>
      </c>
      <c r="E30" s="18">
        <f>VLOOKUP(C30,'Matrícula Pregrado'!$C$5:$F$21,4,0)</f>
        <v>30046.178360300717</v>
      </c>
      <c r="F30" s="18">
        <f>VLOOKUP(C30,'Matrícula Postgrado'!$C$5:$F$21,4,0)</f>
        <v>11638.12666218939</v>
      </c>
      <c r="G30" s="18">
        <f>VLOOKUP(C30,'Años Acreditación'!$C$5:$F$21,4,0)</f>
        <v>6067.6367647058833</v>
      </c>
      <c r="H30" s="18">
        <f>IFERROR(VLOOKUP(C30,'Áreas Acreditación'!$C$5:$F$21,4,0),0)</f>
        <v>5979.7000000000007</v>
      </c>
      <c r="I30" s="18">
        <f>VLOOKUP(C30,'Fondo por habitante'!$C$5:$G$21,5,0)</f>
        <v>99865.429004924532</v>
      </c>
      <c r="J30" s="23">
        <f t="shared" si="1"/>
        <v>250679.25902741466</v>
      </c>
      <c r="K30" s="152">
        <f t="shared" si="2"/>
        <v>250679</v>
      </c>
      <c r="L30" s="136"/>
      <c r="M30" s="136"/>
    </row>
    <row r="31" spans="1:13" x14ac:dyDescent="0.25">
      <c r="A31" s="11">
        <v>8</v>
      </c>
      <c r="B31" s="12" t="s">
        <v>25</v>
      </c>
      <c r="C31" s="17" t="s">
        <v>43</v>
      </c>
      <c r="D31" s="18">
        <f>VLOOKUP(C31,'Ser beneficiaria'!$C$5:$D$21,2,0)</f>
        <v>97082.188235294132</v>
      </c>
      <c r="E31" s="18">
        <f>VLOOKUP(C31,'Matrícula Pregrado'!$C$5:$F$21,4,0)</f>
        <v>59532.890037134341</v>
      </c>
      <c r="F31" s="18">
        <f>VLOOKUP(C31,'Matrícula Postgrado'!$C$5:$F$21,4,0)</f>
        <v>75232.175923438554</v>
      </c>
      <c r="G31" s="18">
        <f>VLOOKUP(C31,'Años Acreditación'!$C$5:$F$21,4,0)</f>
        <v>7281.1641176470594</v>
      </c>
      <c r="H31" s="18">
        <f>IFERROR(VLOOKUP(C31,'Áreas Acreditación'!$C$5:$F$21,4,0),0)</f>
        <v>7474.6250000000009</v>
      </c>
      <c r="I31" s="18">
        <f>VLOOKUP(C31,'Fondo por habitante'!$C$5:$G$21,5,0)</f>
        <v>21059.127745375728</v>
      </c>
      <c r="J31" s="23">
        <f t="shared" si="1"/>
        <v>267662.17105888983</v>
      </c>
      <c r="K31" s="152">
        <f t="shared" si="2"/>
        <v>267662</v>
      </c>
      <c r="L31" s="136"/>
      <c r="M31" s="136"/>
    </row>
    <row r="32" spans="1:13" x14ac:dyDescent="0.25">
      <c r="A32" s="11">
        <v>9</v>
      </c>
      <c r="B32" s="12" t="s">
        <v>26</v>
      </c>
      <c r="C32" s="17" t="s">
        <v>44</v>
      </c>
      <c r="D32" s="18">
        <f>VLOOKUP(C32,'Ser beneficiaria'!$C$5:$D$21,2,0)</f>
        <v>97082.188235294132</v>
      </c>
      <c r="E32" s="18">
        <f>VLOOKUP(C32,'Matrícula Pregrado'!$C$5:$F$21,4,0)</f>
        <v>30070.328001313683</v>
      </c>
      <c r="F32" s="18">
        <f>VLOOKUP(C32,'Matrícula Postgrado'!$C$5:$F$21,4,0)</f>
        <v>4502.8466252518474</v>
      </c>
      <c r="G32" s="18">
        <f>VLOOKUP(C32,'Años Acreditación'!$C$5:$F$21,4,0)</f>
        <v>4854.1094117647062</v>
      </c>
      <c r="H32" s="18">
        <f>IFERROR(VLOOKUP(C32,'Áreas Acreditación'!$C$5:$F$21,4,0),0)</f>
        <v>5979.7000000000007</v>
      </c>
      <c r="I32" s="18">
        <f>VLOOKUP(C32,'Fondo por habitante'!$C$5:$G$21,5,0)</f>
        <v>115346.3140959546</v>
      </c>
      <c r="J32" s="23">
        <f t="shared" si="1"/>
        <v>257835.48636957898</v>
      </c>
      <c r="K32" s="152">
        <f t="shared" si="2"/>
        <v>257835</v>
      </c>
      <c r="L32" s="136"/>
      <c r="M32" s="136"/>
    </row>
    <row r="33" spans="1:13" x14ac:dyDescent="0.25">
      <c r="A33" s="11">
        <v>10</v>
      </c>
      <c r="B33" s="12" t="s">
        <v>27</v>
      </c>
      <c r="C33" s="17" t="s">
        <v>45</v>
      </c>
      <c r="D33" s="18">
        <f>VLOOKUP(C33,'Ser beneficiaria'!$C$5:$D$21,2,0)</f>
        <v>97082.188235294132</v>
      </c>
      <c r="E33" s="18">
        <f>VLOOKUP(C33,'Matrícula Pregrado'!$C$5:$F$21,4,0)</f>
        <v>41750.704371252417</v>
      </c>
      <c r="F33" s="18">
        <f>VLOOKUP(C33,'Matrícula Postgrado'!$C$5:$F$21,4,0)</f>
        <v>5680.5142041638692</v>
      </c>
      <c r="G33" s="18">
        <f>VLOOKUP(C33,'Años Acreditación'!$C$5:$F$21,4,0)</f>
        <v>6067.6367647058833</v>
      </c>
      <c r="H33" s="18">
        <f>IFERROR(VLOOKUP(C33,'Áreas Acreditación'!$C$5:$F$21,4,0),0)</f>
        <v>5979.7000000000007</v>
      </c>
      <c r="I33" s="18">
        <f>VLOOKUP(C33,'Fondo por habitante'!$C$5:$G$21,5,0)</f>
        <v>61456.681392065482</v>
      </c>
      <c r="J33" s="23">
        <f t="shared" si="1"/>
        <v>218017.42496748178</v>
      </c>
      <c r="K33" s="152">
        <f t="shared" si="2"/>
        <v>218017</v>
      </c>
      <c r="L33" s="136"/>
      <c r="M33" s="136"/>
    </row>
    <row r="34" spans="1:13" x14ac:dyDescent="0.25">
      <c r="A34" s="11">
        <v>11</v>
      </c>
      <c r="B34" s="12" t="s">
        <v>28</v>
      </c>
      <c r="C34" s="17" t="s">
        <v>46</v>
      </c>
      <c r="D34" s="18">
        <f>VLOOKUP(C34,'Ser beneficiaria'!$C$5:$D$21,2,0)</f>
        <v>97082.188235294132</v>
      </c>
      <c r="E34" s="18">
        <f>VLOOKUP(C34,'Matrícula Pregrado'!$C$5:$F$21,4,0)</f>
        <v>31583.705504792997</v>
      </c>
      <c r="F34" s="18">
        <f>VLOOKUP(C34,'Matrícula Postgrado'!$C$5:$F$21,4,0)</f>
        <v>3255.9044828744122</v>
      </c>
      <c r="G34" s="18">
        <f>VLOOKUP(C34,'Años Acreditación'!$C$5:$F$21,4,0)</f>
        <v>4854.1094117647062</v>
      </c>
      <c r="H34" s="18">
        <f>IFERROR(VLOOKUP(C34,'Áreas Acreditación'!$C$5:$F$21,4,0),0)</f>
        <v>5979.7000000000007</v>
      </c>
      <c r="I34" s="18">
        <f>VLOOKUP(C34,'Fondo por habitante'!$C$5:$G$21,5,0)</f>
        <v>68432.680648988273</v>
      </c>
      <c r="J34" s="23">
        <f t="shared" si="1"/>
        <v>211188.28828371456</v>
      </c>
      <c r="K34" s="152">
        <f t="shared" si="2"/>
        <v>211188</v>
      </c>
      <c r="L34" s="136"/>
      <c r="M34" s="136"/>
    </row>
    <row r="35" spans="1:13" x14ac:dyDescent="0.25">
      <c r="A35" s="11">
        <v>12</v>
      </c>
      <c r="B35" s="12" t="s">
        <v>29</v>
      </c>
      <c r="C35" s="17" t="s">
        <v>47</v>
      </c>
      <c r="D35" s="18">
        <f>VLOOKUP(C35,'Ser beneficiaria'!$C$5:$D$21,2,0)</f>
        <v>97082.188235294132</v>
      </c>
      <c r="E35" s="18">
        <f>VLOOKUP(C35,'Matrícula Pregrado'!$C$5:$F$21,4,0)</f>
        <v>41481.033379940949</v>
      </c>
      <c r="F35" s="18">
        <f>VLOOKUP(C35,'Matrícula Postgrado'!$C$5:$F$21,4,0)</f>
        <v>20713.094476158498</v>
      </c>
      <c r="G35" s="18">
        <f>VLOOKUP(C35,'Años Acreditación'!$C$5:$F$21,4,0)</f>
        <v>7281.1641176470594</v>
      </c>
      <c r="H35" s="18">
        <f>IFERROR(VLOOKUP(C35,'Áreas Acreditación'!$C$5:$F$21,4,0),0)</f>
        <v>7474.6250000000009</v>
      </c>
      <c r="I35" s="18">
        <f>VLOOKUP(C35,'Fondo por habitante'!$C$5:$G$21,5,0)</f>
        <v>50911.902902219452</v>
      </c>
      <c r="J35" s="23">
        <f t="shared" si="1"/>
        <v>224944.0081112601</v>
      </c>
      <c r="K35" s="152">
        <f t="shared" si="2"/>
        <v>224944</v>
      </c>
      <c r="L35" s="136"/>
      <c r="M35" s="136"/>
    </row>
    <row r="36" spans="1:13" x14ac:dyDescent="0.25">
      <c r="A36" s="11">
        <v>13</v>
      </c>
      <c r="B36" s="12" t="s">
        <v>30</v>
      </c>
      <c r="C36" s="17" t="s">
        <v>48</v>
      </c>
      <c r="D36" s="18">
        <f>VLOOKUP(C36,'Ser beneficiaria'!$C$5:$D$21,2,0)</f>
        <v>97082.188235294132</v>
      </c>
      <c r="E36" s="18">
        <f>VLOOKUP(C36,'Matrícula Pregrado'!$C$5:$F$21,4,0)</f>
        <v>26435.807028862037</v>
      </c>
      <c r="F36" s="18">
        <f>VLOOKUP(C36,'Matrícula Postgrado'!$C$5:$F$21,4,0)</f>
        <v>21890.762055070518</v>
      </c>
      <c r="G36" s="18">
        <f>VLOOKUP(C36,'Años Acreditación'!$C$5:$F$21,4,0)</f>
        <v>6067.6367647058833</v>
      </c>
      <c r="H36" s="18">
        <f>IFERROR(VLOOKUP(C36,'Áreas Acreditación'!$C$5:$F$21,4,0),0)</f>
        <v>4484.7750000000005</v>
      </c>
      <c r="I36" s="18">
        <f>VLOOKUP(C36,'Fondo por habitante'!$C$5:$G$21,5,0)</f>
        <v>21059.127745375728</v>
      </c>
      <c r="J36" s="23">
        <f t="shared" si="1"/>
        <v>177020.2968293083</v>
      </c>
      <c r="K36" s="152">
        <f t="shared" si="2"/>
        <v>177020</v>
      </c>
      <c r="L36" s="136"/>
      <c r="M36" s="136"/>
    </row>
    <row r="37" spans="1:13" x14ac:dyDescent="0.25">
      <c r="A37" s="11">
        <v>14</v>
      </c>
      <c r="B37" s="12" t="s">
        <v>31</v>
      </c>
      <c r="C37" s="17" t="s">
        <v>49</v>
      </c>
      <c r="D37" s="18">
        <f>VLOOKUP(C37,'Ser beneficiaria'!$C$5:$D$21,2,0)</f>
        <v>97082.188235294132</v>
      </c>
      <c r="E37" s="18">
        <f>VLOOKUP(C37,'Matrícula Pregrado'!$C$5:$F$21,4,0)</f>
        <v>16514.329512701115</v>
      </c>
      <c r="F37" s="18">
        <f>VLOOKUP(C37,'Matrícula Postgrado'!$C$5:$F$21,4,0)</f>
        <v>7620.2019811954342</v>
      </c>
      <c r="G37" s="18">
        <f>VLOOKUP(C37,'Años Acreditación'!$C$5:$F$21,4,0)</f>
        <v>6067.6367647058833</v>
      </c>
      <c r="H37" s="18">
        <f>IFERROR(VLOOKUP(C37,'Áreas Acreditación'!$C$5:$F$21,4,0),0)</f>
        <v>5979.7000000000007</v>
      </c>
      <c r="I37" s="18">
        <f>VLOOKUP(C37,'Fondo por habitante'!$C$5:$G$21,5,0)</f>
        <v>66528.742671748143</v>
      </c>
      <c r="J37" s="23">
        <f t="shared" si="1"/>
        <v>199792.79916564468</v>
      </c>
      <c r="K37" s="152">
        <f t="shared" si="2"/>
        <v>199793</v>
      </c>
      <c r="L37" s="136"/>
      <c r="M37" s="136"/>
    </row>
    <row r="38" spans="1:13" x14ac:dyDescent="0.25">
      <c r="A38" s="11">
        <v>15</v>
      </c>
      <c r="B38" s="12" t="s">
        <v>32</v>
      </c>
      <c r="C38" s="17" t="s">
        <v>50</v>
      </c>
      <c r="D38" s="18">
        <f>VLOOKUP(C38,'Ser beneficiaria'!$C$5:$D$21,2,0)</f>
        <v>97082.188235294132</v>
      </c>
      <c r="E38" s="18">
        <f>VLOOKUP(C38,'Matrícula Pregrado'!$C$5:$F$21,4,0)</f>
        <v>31937.900239649854</v>
      </c>
      <c r="F38" s="18">
        <f>VLOOKUP(C38,'Matrícula Postgrado'!$C$5:$F$21,4,0)</f>
        <v>13716.363566151782</v>
      </c>
      <c r="G38" s="18">
        <f>VLOOKUP(C38,'Años Acreditación'!$C$5:$F$21,4,0)</f>
        <v>4854.1094117647062</v>
      </c>
      <c r="H38" s="18">
        <f>IFERROR(VLOOKUP(C38,'Áreas Acreditación'!$C$5:$F$21,4,0),0)</f>
        <v>4484.7750000000005</v>
      </c>
      <c r="I38" s="18">
        <f>VLOOKUP(C38,'Fondo por habitante'!$C$5:$G$21,5,0)</f>
        <v>19198.032170616851</v>
      </c>
      <c r="J38" s="23">
        <f t="shared" si="1"/>
        <v>171273.36862347732</v>
      </c>
      <c r="K38" s="152">
        <f t="shared" si="2"/>
        <v>171273</v>
      </c>
      <c r="L38" s="136"/>
      <c r="M38" s="136"/>
    </row>
    <row r="39" spans="1:13" x14ac:dyDescent="0.25">
      <c r="A39" s="11">
        <v>16</v>
      </c>
      <c r="B39" s="12" t="s">
        <v>33</v>
      </c>
      <c r="C39" s="17" t="s">
        <v>51</v>
      </c>
      <c r="D39" s="18">
        <f>VLOOKUP(C39,'Ser beneficiaria'!$C$5:$D$21,2,0)</f>
        <v>97082.188235294132</v>
      </c>
      <c r="E39" s="18">
        <f>VLOOKUP(C39,'Matrícula Pregrado'!$C$5:$F$21,4,0)</f>
        <v>15548.343872182406</v>
      </c>
      <c r="F39" s="18">
        <f>VLOOKUP(C39,'Matrícula Postgrado'!$C$5:$F$21,4,0)</f>
        <v>12053.774042981868</v>
      </c>
      <c r="G39" s="18">
        <f>VLOOKUP(C39,'Años Acreditación'!$C$5:$F$21,4,0)</f>
        <v>4854.1094117647062</v>
      </c>
      <c r="H39" s="18">
        <f>IFERROR(VLOOKUP(C39,'Áreas Acreditación'!$C$5:$F$21,4,0),0)</f>
        <v>4484.7750000000005</v>
      </c>
      <c r="I39" s="18">
        <f>VLOOKUP(C39,'Fondo por habitante'!$C$5:$G$21,5,0)</f>
        <v>19198.032170616851</v>
      </c>
      <c r="J39" s="23">
        <f t="shared" si="1"/>
        <v>153221.22273283996</v>
      </c>
      <c r="K39" s="152">
        <f t="shared" si="2"/>
        <v>153221</v>
      </c>
      <c r="L39" s="136"/>
      <c r="M39" s="136"/>
    </row>
    <row r="40" spans="1:13" x14ac:dyDescent="0.25">
      <c r="A40" s="11">
        <v>17</v>
      </c>
      <c r="B40" s="12" t="s">
        <v>34</v>
      </c>
      <c r="C40" s="17" t="s">
        <v>52</v>
      </c>
      <c r="D40" s="18">
        <f>VLOOKUP(C40,'Ser beneficiaria'!$C$5:$D$21,2,0)</f>
        <v>97082.188235294132</v>
      </c>
      <c r="E40" s="18">
        <f>VLOOKUP(C40,'Matrícula Pregrado'!$C$5:$F$21,4,0)</f>
        <v>2664.510391764109</v>
      </c>
      <c r="F40" s="18">
        <f>VLOOKUP(C40,'Matrícula Postgrado'!$C$5:$F$21,4,0)</f>
        <v>0</v>
      </c>
      <c r="G40" s="18">
        <f>VLOOKUP(C40,'Años Acreditación'!$C$5:$F$21,4,0)</f>
        <v>3640.5820588235297</v>
      </c>
      <c r="H40" s="18">
        <f>IFERROR(VLOOKUP(C40,'Áreas Acreditación'!$C$5:$F$21,4,0),0)</f>
        <v>2989.8500000000004</v>
      </c>
      <c r="I40" s="18">
        <f>VLOOKUP(C40,'Fondo por habitante'!$C$5:$G$21,5,0)</f>
        <v>45349.092171694305</v>
      </c>
      <c r="J40" s="23">
        <f t="shared" si="1"/>
        <v>151726.2228575761</v>
      </c>
      <c r="K40" s="152">
        <f t="shared" si="2"/>
        <v>151726</v>
      </c>
      <c r="L40" s="136"/>
      <c r="M40" s="136"/>
    </row>
    <row r="41" spans="1:13" x14ac:dyDescent="0.25">
      <c r="D41" s="21">
        <f>SUM(D24:D40)</f>
        <v>1650397.1999999997</v>
      </c>
      <c r="E41" s="21">
        <f>SUM(E24:E40)</f>
        <v>618898.94999999995</v>
      </c>
      <c r="F41" s="22">
        <f t="shared" ref="F41:I41" si="3">SUM(F24:F40)</f>
        <v>412599.3</v>
      </c>
      <c r="G41" s="22">
        <f t="shared" si="3"/>
        <v>103149.825</v>
      </c>
      <c r="H41" s="22">
        <f t="shared" si="3"/>
        <v>103149.82499999998</v>
      </c>
      <c r="I41" s="22">
        <f t="shared" si="3"/>
        <v>1237797.8999999999</v>
      </c>
      <c r="J41" s="23">
        <f>SUM(J24:J40)</f>
        <v>4125993</v>
      </c>
      <c r="K41" s="153">
        <f>SUM(K24:K40)</f>
        <v>4125990</v>
      </c>
      <c r="M41" s="136"/>
    </row>
    <row r="58" spans="1:1" x14ac:dyDescent="0.25">
      <c r="A58" s="1"/>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3E3E-B98B-48B7-8FF2-8E2C48CCE223}">
  <sheetPr>
    <tabColor rgb="FF92D050"/>
  </sheetPr>
  <dimension ref="A2:O28"/>
  <sheetViews>
    <sheetView workbookViewId="0">
      <selection activeCell="A22" sqref="A22"/>
    </sheetView>
  </sheetViews>
  <sheetFormatPr baseColWidth="10" defaultColWidth="9.140625" defaultRowHeight="10.5" x14ac:dyDescent="0.25"/>
  <cols>
    <col min="1" max="1" width="26.42578125" style="32" customWidth="1"/>
    <col min="2" max="2" width="12.140625" style="32" customWidth="1"/>
    <col min="3" max="3" width="21.42578125" style="32" customWidth="1"/>
    <col min="4" max="4" width="10.28515625" style="32" bestFit="1" customWidth="1"/>
    <col min="5" max="5" width="21" style="32" bestFit="1" customWidth="1"/>
    <col min="6" max="6" width="10.28515625" style="32" bestFit="1" customWidth="1"/>
    <col min="7" max="7" width="21" style="32" bestFit="1" customWidth="1"/>
    <col min="8" max="8" width="10.28515625" style="32" bestFit="1" customWidth="1"/>
    <col min="9" max="9" width="21" style="32" bestFit="1" customWidth="1"/>
    <col min="10" max="10" width="10.28515625" style="32" bestFit="1" customWidth="1"/>
    <col min="11" max="11" width="21" style="32" bestFit="1" customWidth="1"/>
    <col min="12" max="12" width="10.28515625" style="32" bestFit="1" customWidth="1"/>
    <col min="13" max="13" width="21" style="32" bestFit="1" customWidth="1"/>
    <col min="14" max="14" width="10.28515625" style="32" bestFit="1" customWidth="1"/>
    <col min="15" max="15" width="21.42578125" style="32" customWidth="1"/>
    <col min="16" max="16384" width="9.140625" style="32"/>
  </cols>
  <sheetData>
    <row r="2" spans="1:15" ht="11.25" x14ac:dyDescent="0.25">
      <c r="A2" s="104" t="s">
        <v>122</v>
      </c>
    </row>
    <row r="3" spans="1:15" x14ac:dyDescent="0.25">
      <c r="A3" s="44"/>
    </row>
    <row r="4" spans="1:15" ht="21" x14ac:dyDescent="0.25">
      <c r="A4" s="79" t="s">
        <v>114</v>
      </c>
      <c r="B4" s="105" t="s">
        <v>123</v>
      </c>
      <c r="C4" s="106"/>
      <c r="D4" s="107" t="s">
        <v>124</v>
      </c>
      <c r="E4" s="108"/>
      <c r="F4" s="107" t="s">
        <v>101</v>
      </c>
      <c r="G4" s="108"/>
      <c r="H4" s="107" t="s">
        <v>125</v>
      </c>
      <c r="I4" s="107"/>
      <c r="J4" s="107" t="s">
        <v>126</v>
      </c>
      <c r="K4" s="107"/>
      <c r="L4" s="107" t="s">
        <v>127</v>
      </c>
      <c r="M4" s="107"/>
      <c r="N4" s="107" t="s">
        <v>128</v>
      </c>
      <c r="O4" s="107"/>
    </row>
    <row r="5" spans="1:15" x14ac:dyDescent="0.25">
      <c r="A5" s="78"/>
      <c r="B5" s="109" t="s">
        <v>102</v>
      </c>
      <c r="C5" s="110" t="s">
        <v>118</v>
      </c>
      <c r="D5" s="109" t="s">
        <v>102</v>
      </c>
      <c r="E5" s="110" t="s">
        <v>118</v>
      </c>
      <c r="F5" s="109" t="s">
        <v>102</v>
      </c>
      <c r="G5" s="110" t="s">
        <v>118</v>
      </c>
      <c r="H5" s="109" t="s">
        <v>102</v>
      </c>
      <c r="I5" s="110" t="s">
        <v>118</v>
      </c>
      <c r="J5" s="109" t="s">
        <v>102</v>
      </c>
      <c r="K5" s="110" t="s">
        <v>118</v>
      </c>
      <c r="L5" s="109" t="s">
        <v>102</v>
      </c>
      <c r="M5" s="110" t="s">
        <v>118</v>
      </c>
      <c r="N5" s="109" t="s">
        <v>102</v>
      </c>
      <c r="O5" s="110" t="s">
        <v>118</v>
      </c>
    </row>
    <row r="6" spans="1:15" x14ac:dyDescent="0.25">
      <c r="A6" s="104" t="s">
        <v>9</v>
      </c>
      <c r="B6" s="111">
        <v>494</v>
      </c>
      <c r="C6" s="111">
        <v>4329596404.9899998</v>
      </c>
      <c r="D6" s="111">
        <v>36</v>
      </c>
      <c r="E6" s="111">
        <v>781575084</v>
      </c>
      <c r="F6" s="111">
        <v>122</v>
      </c>
      <c r="G6" s="111">
        <v>767262363.20000005</v>
      </c>
      <c r="H6" s="111">
        <v>156</v>
      </c>
      <c r="I6" s="111">
        <v>571759481.99000001</v>
      </c>
      <c r="J6" s="111">
        <v>4</v>
      </c>
      <c r="K6" s="111">
        <v>559260084</v>
      </c>
      <c r="L6" s="111">
        <v>28</v>
      </c>
      <c r="M6" s="111">
        <v>422642820</v>
      </c>
      <c r="N6" s="111">
        <v>148</v>
      </c>
      <c r="O6" s="111">
        <v>1227096571.8</v>
      </c>
    </row>
    <row r="7" spans="1:15" ht="11.1" customHeight="1" x14ac:dyDescent="0.25">
      <c r="A7" s="93" t="s">
        <v>68</v>
      </c>
      <c r="B7" s="111">
        <v>5</v>
      </c>
      <c r="C7" s="111">
        <v>21336332</v>
      </c>
      <c r="D7" s="112">
        <v>0</v>
      </c>
      <c r="E7" s="113">
        <v>0</v>
      </c>
      <c r="F7" s="113">
        <v>0</v>
      </c>
      <c r="G7" s="113">
        <v>0</v>
      </c>
      <c r="H7" s="114">
        <v>4</v>
      </c>
      <c r="I7" s="114">
        <v>11812497</v>
      </c>
      <c r="J7" s="113">
        <v>0</v>
      </c>
      <c r="K7" s="113">
        <v>0</v>
      </c>
      <c r="L7" s="114">
        <v>1</v>
      </c>
      <c r="M7" s="114">
        <v>9523835</v>
      </c>
      <c r="N7" s="115">
        <v>0</v>
      </c>
      <c r="O7" s="115">
        <v>0</v>
      </c>
    </row>
    <row r="8" spans="1:15" ht="11.1" customHeight="1" x14ac:dyDescent="0.25">
      <c r="A8" s="93" t="s">
        <v>58</v>
      </c>
      <c r="B8" s="111">
        <v>7</v>
      </c>
      <c r="C8" s="111">
        <v>155476664</v>
      </c>
      <c r="D8" s="112">
        <v>0</v>
      </c>
      <c r="E8" s="113">
        <v>0</v>
      </c>
      <c r="F8" s="113">
        <v>2</v>
      </c>
      <c r="G8" s="113">
        <v>10529762</v>
      </c>
      <c r="H8" s="114">
        <v>3</v>
      </c>
      <c r="I8" s="114">
        <v>9794446</v>
      </c>
      <c r="J8" s="113">
        <v>1</v>
      </c>
      <c r="K8" s="113">
        <v>124853312</v>
      </c>
      <c r="L8" s="114">
        <v>1</v>
      </c>
      <c r="M8" s="114">
        <v>10299144</v>
      </c>
      <c r="N8" s="115">
        <v>0</v>
      </c>
      <c r="O8" s="115">
        <v>0</v>
      </c>
    </row>
    <row r="9" spans="1:15" ht="11.1" customHeight="1" x14ac:dyDescent="0.25">
      <c r="A9" s="93" t="s">
        <v>62</v>
      </c>
      <c r="B9" s="111">
        <v>4</v>
      </c>
      <c r="C9" s="111">
        <v>30756573</v>
      </c>
      <c r="D9" s="112">
        <v>0</v>
      </c>
      <c r="E9" s="116">
        <v>0</v>
      </c>
      <c r="F9" s="113">
        <v>1</v>
      </c>
      <c r="G9" s="113">
        <v>5977143</v>
      </c>
      <c r="H9" s="114">
        <v>2</v>
      </c>
      <c r="I9" s="114">
        <v>4900000</v>
      </c>
      <c r="J9" s="113">
        <v>0</v>
      </c>
      <c r="K9" s="113">
        <v>0</v>
      </c>
      <c r="L9" s="114">
        <v>1</v>
      </c>
      <c r="M9" s="114">
        <v>19879430</v>
      </c>
      <c r="N9" s="115">
        <v>0</v>
      </c>
      <c r="O9" s="115">
        <v>0</v>
      </c>
    </row>
    <row r="10" spans="1:15" ht="11.1" customHeight="1" x14ac:dyDescent="0.25">
      <c r="A10" s="93" t="s">
        <v>67</v>
      </c>
      <c r="B10" s="111">
        <v>8</v>
      </c>
      <c r="C10" s="111">
        <v>258992121</v>
      </c>
      <c r="D10" s="112">
        <v>4</v>
      </c>
      <c r="E10" s="113">
        <v>81763157</v>
      </c>
      <c r="F10" s="113">
        <v>1</v>
      </c>
      <c r="G10" s="113">
        <v>5971162</v>
      </c>
      <c r="H10" s="114">
        <v>0</v>
      </c>
      <c r="I10" s="114">
        <v>0</v>
      </c>
      <c r="J10" s="113">
        <v>1</v>
      </c>
      <c r="K10" s="113">
        <v>144906828</v>
      </c>
      <c r="L10" s="114">
        <v>2</v>
      </c>
      <c r="M10" s="114">
        <v>26350974</v>
      </c>
      <c r="N10" s="115">
        <v>0</v>
      </c>
      <c r="O10" s="115">
        <v>0</v>
      </c>
    </row>
    <row r="11" spans="1:15" ht="11.1" customHeight="1" x14ac:dyDescent="0.25">
      <c r="A11" s="93" t="s">
        <v>63</v>
      </c>
      <c r="B11" s="111">
        <v>24</v>
      </c>
      <c r="C11" s="111">
        <v>179414332</v>
      </c>
      <c r="D11" s="112">
        <v>3</v>
      </c>
      <c r="E11" s="113">
        <v>54802761</v>
      </c>
      <c r="F11" s="113">
        <v>5</v>
      </c>
      <c r="G11" s="113">
        <v>32042692</v>
      </c>
      <c r="H11" s="114">
        <v>5</v>
      </c>
      <c r="I11" s="114">
        <v>12533661</v>
      </c>
      <c r="J11" s="113">
        <v>0</v>
      </c>
      <c r="K11" s="113">
        <v>0</v>
      </c>
      <c r="L11" s="114">
        <v>1</v>
      </c>
      <c r="M11" s="114">
        <v>9600000</v>
      </c>
      <c r="N11" s="115">
        <v>10</v>
      </c>
      <c r="O11" s="115">
        <v>70435218</v>
      </c>
    </row>
    <row r="12" spans="1:15" ht="11.1" customHeight="1" x14ac:dyDescent="0.25">
      <c r="A12" s="93" t="s">
        <v>64</v>
      </c>
      <c r="B12" s="111">
        <v>85</v>
      </c>
      <c r="C12" s="111">
        <v>727436807</v>
      </c>
      <c r="D12" s="112">
        <v>3</v>
      </c>
      <c r="E12" s="116">
        <v>79822387</v>
      </c>
      <c r="F12" s="113">
        <v>12</v>
      </c>
      <c r="G12" s="113">
        <v>74116889</v>
      </c>
      <c r="H12" s="114">
        <v>26</v>
      </c>
      <c r="I12" s="114">
        <v>99791842</v>
      </c>
      <c r="J12" s="113">
        <v>0</v>
      </c>
      <c r="K12" s="113">
        <v>0</v>
      </c>
      <c r="L12" s="114">
        <v>6</v>
      </c>
      <c r="M12" s="114">
        <v>75204973</v>
      </c>
      <c r="N12" s="115">
        <v>38</v>
      </c>
      <c r="O12" s="115">
        <v>398500716</v>
      </c>
    </row>
    <row r="13" spans="1:15" ht="11.1" customHeight="1" x14ac:dyDescent="0.25">
      <c r="A13" s="93" t="s">
        <v>61</v>
      </c>
      <c r="B13" s="111">
        <v>207</v>
      </c>
      <c r="C13" s="111">
        <v>1594598178.6900001</v>
      </c>
      <c r="D13" s="112">
        <v>11</v>
      </c>
      <c r="E13" s="116">
        <v>230231952</v>
      </c>
      <c r="F13" s="113">
        <v>63</v>
      </c>
      <c r="G13" s="113">
        <v>388608532</v>
      </c>
      <c r="H13" s="114">
        <v>62</v>
      </c>
      <c r="I13" s="114">
        <v>227652906.69</v>
      </c>
      <c r="J13" s="113">
        <v>1</v>
      </c>
      <c r="K13" s="113">
        <v>144499944</v>
      </c>
      <c r="L13" s="114">
        <v>9</v>
      </c>
      <c r="M13" s="114">
        <v>163723764</v>
      </c>
      <c r="N13" s="115">
        <v>61</v>
      </c>
      <c r="O13" s="115">
        <v>439881080</v>
      </c>
    </row>
    <row r="14" spans="1:15" ht="11.1" customHeight="1" x14ac:dyDescent="0.25">
      <c r="A14" s="93" t="s">
        <v>65</v>
      </c>
      <c r="B14" s="111">
        <v>12</v>
      </c>
      <c r="C14" s="111">
        <v>227492747.30000001</v>
      </c>
      <c r="D14" s="112">
        <v>1</v>
      </c>
      <c r="E14" s="116">
        <v>13606936</v>
      </c>
      <c r="F14" s="113">
        <v>1</v>
      </c>
      <c r="G14" s="113">
        <v>5920758</v>
      </c>
      <c r="H14" s="114">
        <v>6</v>
      </c>
      <c r="I14" s="114">
        <v>36277079.299999997</v>
      </c>
      <c r="J14" s="113">
        <v>1</v>
      </c>
      <c r="K14" s="113">
        <v>145000000</v>
      </c>
      <c r="L14" s="114">
        <v>0</v>
      </c>
      <c r="M14" s="114">
        <v>0</v>
      </c>
      <c r="N14" s="115">
        <v>3</v>
      </c>
      <c r="O14" s="115">
        <v>26687974</v>
      </c>
    </row>
    <row r="15" spans="1:15" ht="11.1" customHeight="1" x14ac:dyDescent="0.25">
      <c r="A15" s="93" t="s">
        <v>57</v>
      </c>
      <c r="B15" s="111">
        <v>19</v>
      </c>
      <c r="C15" s="111">
        <v>187890002</v>
      </c>
      <c r="D15" s="112">
        <v>1</v>
      </c>
      <c r="E15" s="113">
        <v>39998383</v>
      </c>
      <c r="F15" s="113">
        <v>4</v>
      </c>
      <c r="G15" s="113">
        <v>24444002</v>
      </c>
      <c r="H15" s="114">
        <v>7</v>
      </c>
      <c r="I15" s="114">
        <v>29104241</v>
      </c>
      <c r="J15" s="113">
        <v>0</v>
      </c>
      <c r="K15" s="113">
        <v>0</v>
      </c>
      <c r="L15" s="114">
        <v>2</v>
      </c>
      <c r="M15" s="114">
        <v>33111786</v>
      </c>
      <c r="N15" s="115">
        <v>5</v>
      </c>
      <c r="O15" s="115">
        <v>61231590</v>
      </c>
    </row>
    <row r="16" spans="1:15" ht="11.1" customHeight="1" x14ac:dyDescent="0.25">
      <c r="A16" s="93" t="s">
        <v>87</v>
      </c>
      <c r="B16" s="111">
        <v>9</v>
      </c>
      <c r="C16" s="111">
        <v>46130738.200000003</v>
      </c>
      <c r="D16" s="112">
        <v>0</v>
      </c>
      <c r="E16" s="113">
        <v>0</v>
      </c>
      <c r="F16" s="113">
        <v>3</v>
      </c>
      <c r="G16" s="113">
        <v>17641117.199999999</v>
      </c>
      <c r="H16" s="114">
        <v>4</v>
      </c>
      <c r="I16" s="114">
        <v>9083281</v>
      </c>
      <c r="J16" s="113">
        <v>0</v>
      </c>
      <c r="K16" s="113">
        <v>0</v>
      </c>
      <c r="L16" s="114">
        <v>0</v>
      </c>
      <c r="M16" s="114">
        <v>0</v>
      </c>
      <c r="N16" s="115">
        <v>2</v>
      </c>
      <c r="O16" s="115">
        <v>19406340</v>
      </c>
    </row>
    <row r="17" spans="1:15" ht="11.1" customHeight="1" x14ac:dyDescent="0.25">
      <c r="A17" s="93" t="s">
        <v>89</v>
      </c>
      <c r="B17" s="111">
        <v>24</v>
      </c>
      <c r="C17" s="111">
        <v>197264426</v>
      </c>
      <c r="D17" s="112">
        <v>4</v>
      </c>
      <c r="E17" s="113">
        <v>97730254</v>
      </c>
      <c r="F17" s="113">
        <v>6</v>
      </c>
      <c r="G17" s="113">
        <v>46720738</v>
      </c>
      <c r="H17" s="114">
        <v>10</v>
      </c>
      <c r="I17" s="114">
        <v>22920298</v>
      </c>
      <c r="J17" s="113">
        <v>0</v>
      </c>
      <c r="K17" s="113">
        <v>0</v>
      </c>
      <c r="L17" s="114">
        <v>1</v>
      </c>
      <c r="M17" s="114">
        <v>19999461</v>
      </c>
      <c r="N17" s="115">
        <v>3</v>
      </c>
      <c r="O17" s="115">
        <v>9893675</v>
      </c>
    </row>
    <row r="18" spans="1:15" ht="11.1" customHeight="1" x14ac:dyDescent="0.25">
      <c r="A18" s="93" t="s">
        <v>90</v>
      </c>
      <c r="B18" s="111">
        <v>16</v>
      </c>
      <c r="C18" s="111">
        <v>101468384</v>
      </c>
      <c r="D18" s="112">
        <v>1</v>
      </c>
      <c r="E18" s="113">
        <v>10249820</v>
      </c>
      <c r="F18" s="113">
        <v>3</v>
      </c>
      <c r="G18" s="113">
        <v>19848897</v>
      </c>
      <c r="H18" s="114">
        <v>6</v>
      </c>
      <c r="I18" s="114">
        <v>21096656</v>
      </c>
      <c r="J18" s="113">
        <v>0</v>
      </c>
      <c r="K18" s="113">
        <v>0</v>
      </c>
      <c r="L18" s="114">
        <v>0</v>
      </c>
      <c r="M18" s="114">
        <v>0</v>
      </c>
      <c r="N18" s="115">
        <v>6</v>
      </c>
      <c r="O18" s="115">
        <v>50273011</v>
      </c>
    </row>
    <row r="19" spans="1:15" ht="11.1" customHeight="1" x14ac:dyDescent="0.25">
      <c r="A19" s="93" t="s">
        <v>94</v>
      </c>
      <c r="B19" s="111">
        <v>32</v>
      </c>
      <c r="C19" s="111">
        <v>280201496.80000001</v>
      </c>
      <c r="D19" s="112">
        <v>5</v>
      </c>
      <c r="E19" s="113">
        <v>81615328</v>
      </c>
      <c r="F19" s="113">
        <v>8</v>
      </c>
      <c r="G19" s="113">
        <v>54767753</v>
      </c>
      <c r="H19" s="114">
        <v>7</v>
      </c>
      <c r="I19" s="114">
        <v>35161538</v>
      </c>
      <c r="J19" s="113">
        <v>0</v>
      </c>
      <c r="K19" s="113">
        <v>0</v>
      </c>
      <c r="L19" s="114">
        <v>1</v>
      </c>
      <c r="M19" s="114">
        <v>19697319</v>
      </c>
      <c r="N19" s="115">
        <v>11</v>
      </c>
      <c r="O19" s="115">
        <v>88959558.799999997</v>
      </c>
    </row>
    <row r="20" spans="1:15" ht="11.1" customHeight="1" x14ac:dyDescent="0.25">
      <c r="A20" s="93" t="s">
        <v>66</v>
      </c>
      <c r="B20" s="111">
        <v>30</v>
      </c>
      <c r="C20" s="111">
        <v>212216297</v>
      </c>
      <c r="D20" s="112">
        <v>1</v>
      </c>
      <c r="E20" s="113">
        <v>20910132</v>
      </c>
      <c r="F20" s="113">
        <v>11</v>
      </c>
      <c r="G20" s="113">
        <v>71103623</v>
      </c>
      <c r="H20" s="114">
        <v>8</v>
      </c>
      <c r="I20" s="114">
        <v>29986172</v>
      </c>
      <c r="J20" s="113">
        <v>0</v>
      </c>
      <c r="K20" s="113">
        <v>0</v>
      </c>
      <c r="L20" s="114">
        <v>3</v>
      </c>
      <c r="M20" s="114">
        <v>35252134</v>
      </c>
      <c r="N20" s="115">
        <v>7</v>
      </c>
      <c r="O20" s="115">
        <v>54964236</v>
      </c>
    </row>
    <row r="21" spans="1:15" ht="11.1" customHeight="1" x14ac:dyDescent="0.25">
      <c r="A21" s="93" t="s">
        <v>70</v>
      </c>
      <c r="B21" s="111">
        <v>6</v>
      </c>
      <c r="C21" s="111">
        <v>80038302</v>
      </c>
      <c r="D21" s="112">
        <v>2</v>
      </c>
      <c r="E21" s="113">
        <v>70843974</v>
      </c>
      <c r="F21" s="113">
        <v>0</v>
      </c>
      <c r="G21" s="113">
        <v>0</v>
      </c>
      <c r="H21" s="114">
        <v>3</v>
      </c>
      <c r="I21" s="114">
        <v>4295612</v>
      </c>
      <c r="J21" s="113">
        <v>0</v>
      </c>
      <c r="K21" s="113">
        <v>0</v>
      </c>
      <c r="L21" s="114">
        <v>0</v>
      </c>
      <c r="M21" s="114">
        <v>0</v>
      </c>
      <c r="N21" s="115">
        <v>1</v>
      </c>
      <c r="O21" s="115">
        <v>4898716</v>
      </c>
    </row>
    <row r="22" spans="1:15" ht="11.1" customHeight="1" x14ac:dyDescent="0.25">
      <c r="A22" s="93" t="s">
        <v>69</v>
      </c>
      <c r="B22" s="111">
        <v>6</v>
      </c>
      <c r="C22" s="111">
        <v>28883004</v>
      </c>
      <c r="D22" s="112">
        <v>0</v>
      </c>
      <c r="E22" s="113">
        <v>0</v>
      </c>
      <c r="F22" s="113">
        <v>2</v>
      </c>
      <c r="G22" s="113">
        <v>9569295</v>
      </c>
      <c r="H22" s="114">
        <v>3</v>
      </c>
      <c r="I22" s="114">
        <v>17349252</v>
      </c>
      <c r="J22" s="113">
        <v>0</v>
      </c>
      <c r="K22" s="113">
        <v>0</v>
      </c>
      <c r="L22" s="114">
        <v>0</v>
      </c>
      <c r="M22" s="114">
        <v>0</v>
      </c>
      <c r="N22" s="115">
        <v>1</v>
      </c>
      <c r="O22" s="115">
        <v>1964457</v>
      </c>
    </row>
    <row r="23" spans="1:15" ht="11.1" customHeight="1" x14ac:dyDescent="0.25">
      <c r="A23" s="44"/>
    </row>
    <row r="24" spans="1:15" x14ac:dyDescent="0.25">
      <c r="A24" s="93" t="s">
        <v>119</v>
      </c>
    </row>
    <row r="25" spans="1:15" x14ac:dyDescent="0.25">
      <c r="A25" s="93" t="s">
        <v>129</v>
      </c>
      <c r="B25" s="44"/>
      <c r="C25" s="44"/>
      <c r="D25" s="44"/>
      <c r="E25" s="44"/>
      <c r="F25" s="44"/>
      <c r="G25" s="44"/>
    </row>
    <row r="26" spans="1:15" x14ac:dyDescent="0.25">
      <c r="A26" s="94" t="s">
        <v>130</v>
      </c>
      <c r="B26" s="72"/>
      <c r="C26" s="72"/>
      <c r="D26" s="72"/>
      <c r="E26" s="72"/>
      <c r="F26" s="72"/>
      <c r="G26" s="72"/>
      <c r="H26" s="72"/>
      <c r="I26" s="72"/>
    </row>
    <row r="27" spans="1:15" x14ac:dyDescent="0.25">
      <c r="A27" s="117" t="s">
        <v>131</v>
      </c>
      <c r="B27" s="72"/>
      <c r="C27" s="72"/>
      <c r="D27" s="72"/>
      <c r="E27" s="72"/>
      <c r="F27" s="72"/>
      <c r="G27" s="72"/>
      <c r="H27" s="72"/>
      <c r="I27" s="72"/>
    </row>
    <row r="28" spans="1:15" x14ac:dyDescent="0.25">
      <c r="A28" s="95" t="s">
        <v>103</v>
      </c>
      <c r="B28" s="44"/>
      <c r="C28" s="44"/>
      <c r="D28" s="44"/>
      <c r="E28" s="44"/>
      <c r="F28" s="44"/>
      <c r="G28" s="44"/>
      <c r="H28" s="46"/>
      <c r="I28" s="4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FD1D8-221B-4B5E-8328-1704FF6DFF31}">
  <sheetPr>
    <tabColor rgb="FF92D050"/>
  </sheetPr>
  <dimension ref="A2:O28"/>
  <sheetViews>
    <sheetView workbookViewId="0">
      <selection activeCell="A2" sqref="A2"/>
    </sheetView>
  </sheetViews>
  <sheetFormatPr baseColWidth="10" defaultColWidth="9.140625" defaultRowHeight="10.5" x14ac:dyDescent="0.25"/>
  <cols>
    <col min="1" max="1" width="28" style="32" customWidth="1"/>
    <col min="2" max="2" width="10.7109375" style="32" customWidth="1"/>
    <col min="3" max="3" width="21.42578125" style="32" customWidth="1"/>
    <col min="4" max="4" width="10.7109375" style="32" customWidth="1"/>
    <col min="5" max="5" width="21.42578125" style="32" customWidth="1"/>
    <col min="6" max="6" width="10.7109375" style="32" customWidth="1"/>
    <col min="7" max="7" width="21.42578125" style="32" customWidth="1"/>
    <col min="8" max="8" width="10.7109375" style="32" customWidth="1"/>
    <col min="9" max="9" width="21.42578125" style="32" customWidth="1"/>
    <col min="10" max="10" width="10.7109375" style="32" customWidth="1"/>
    <col min="11" max="11" width="21.42578125" style="32" customWidth="1"/>
    <col min="12" max="12" width="10.7109375" style="32" customWidth="1"/>
    <col min="13" max="13" width="21.42578125" style="32" customWidth="1"/>
    <col min="14" max="14" width="10.7109375" style="32" customWidth="1"/>
    <col min="15" max="15" width="21.42578125" style="32" customWidth="1"/>
    <col min="16" max="16384" width="9.140625" style="32"/>
  </cols>
  <sheetData>
    <row r="2" spans="1:15" ht="11.25" x14ac:dyDescent="0.25">
      <c r="A2" s="118" t="s">
        <v>133</v>
      </c>
    </row>
    <row r="3" spans="1:15" x14ac:dyDescent="0.25">
      <c r="A3" s="63"/>
    </row>
    <row r="4" spans="1:15" ht="31.5" customHeight="1" x14ac:dyDescent="0.25">
      <c r="A4" s="79" t="s">
        <v>114</v>
      </c>
      <c r="B4" s="119" t="s">
        <v>123</v>
      </c>
      <c r="C4" s="120"/>
      <c r="D4" s="121" t="s">
        <v>104</v>
      </c>
      <c r="E4" s="122"/>
      <c r="F4" s="119" t="s">
        <v>99</v>
      </c>
      <c r="G4" s="120"/>
      <c r="H4" s="119" t="s">
        <v>93</v>
      </c>
      <c r="I4" s="120"/>
      <c r="J4" s="121" t="s">
        <v>134</v>
      </c>
      <c r="K4" s="120"/>
      <c r="L4" s="119" t="s">
        <v>117</v>
      </c>
      <c r="M4" s="120"/>
      <c r="N4" s="107" t="s">
        <v>128</v>
      </c>
      <c r="O4" s="107"/>
    </row>
    <row r="5" spans="1:15" x14ac:dyDescent="0.25">
      <c r="A5" s="64"/>
      <c r="B5" s="123" t="s">
        <v>102</v>
      </c>
      <c r="C5" s="110" t="s">
        <v>118</v>
      </c>
      <c r="D5" s="123" t="s">
        <v>102</v>
      </c>
      <c r="E5" s="110" t="s">
        <v>118</v>
      </c>
      <c r="F5" s="123" t="s">
        <v>102</v>
      </c>
      <c r="G5" s="110" t="s">
        <v>118</v>
      </c>
      <c r="H5" s="123" t="s">
        <v>102</v>
      </c>
      <c r="I5" s="110" t="s">
        <v>118</v>
      </c>
      <c r="J5" s="123" t="s">
        <v>102</v>
      </c>
      <c r="K5" s="110" t="s">
        <v>118</v>
      </c>
      <c r="L5" s="123" t="s">
        <v>102</v>
      </c>
      <c r="M5" s="110" t="s">
        <v>118</v>
      </c>
      <c r="N5" s="109" t="s">
        <v>102</v>
      </c>
      <c r="O5" s="110" t="s">
        <v>118</v>
      </c>
    </row>
    <row r="6" spans="1:15" x14ac:dyDescent="0.25">
      <c r="A6" s="118" t="s">
        <v>9</v>
      </c>
      <c r="B6" s="124">
        <v>665</v>
      </c>
      <c r="C6" s="124">
        <v>5741777151.1499996</v>
      </c>
      <c r="D6" s="124">
        <v>162</v>
      </c>
      <c r="E6" s="124">
        <v>2006149273</v>
      </c>
      <c r="F6" s="124">
        <v>202</v>
      </c>
      <c r="G6" s="124">
        <v>1605239854</v>
      </c>
      <c r="H6" s="124">
        <v>181</v>
      </c>
      <c r="I6" s="124">
        <v>892612000</v>
      </c>
      <c r="J6" s="124">
        <v>21</v>
      </c>
      <c r="K6" s="124">
        <v>828364864</v>
      </c>
      <c r="L6" s="124">
        <v>12</v>
      </c>
      <c r="M6" s="124">
        <v>214440919</v>
      </c>
      <c r="N6" s="124">
        <v>87</v>
      </c>
      <c r="O6" s="124">
        <v>194970241.15000001</v>
      </c>
    </row>
    <row r="7" spans="1:15" x14ac:dyDescent="0.25">
      <c r="A7" s="125" t="s">
        <v>68</v>
      </c>
      <c r="B7" s="124">
        <v>15</v>
      </c>
      <c r="C7" s="124">
        <v>87995525</v>
      </c>
      <c r="D7" s="126">
        <v>3</v>
      </c>
      <c r="E7" s="126">
        <v>29075244</v>
      </c>
      <c r="F7" s="126">
        <v>8</v>
      </c>
      <c r="G7" s="126">
        <v>42219281</v>
      </c>
      <c r="H7" s="126">
        <v>3</v>
      </c>
      <c r="I7" s="126">
        <v>14028000</v>
      </c>
      <c r="J7" s="126">
        <v>0</v>
      </c>
      <c r="K7" s="126">
        <v>0</v>
      </c>
      <c r="L7" s="126">
        <v>0</v>
      </c>
      <c r="M7" s="126">
        <v>0</v>
      </c>
      <c r="N7" s="115">
        <v>1</v>
      </c>
      <c r="O7" s="115">
        <v>2673000</v>
      </c>
    </row>
    <row r="8" spans="1:15" x14ac:dyDescent="0.25">
      <c r="A8" s="125" t="s">
        <v>58</v>
      </c>
      <c r="B8" s="124">
        <v>9</v>
      </c>
      <c r="C8" s="124">
        <v>149787645</v>
      </c>
      <c r="D8" s="126">
        <v>2</v>
      </c>
      <c r="E8" s="126">
        <v>35980289</v>
      </c>
      <c r="F8" s="126">
        <v>2</v>
      </c>
      <c r="G8" s="126">
        <v>40313356</v>
      </c>
      <c r="H8" s="126">
        <v>3</v>
      </c>
      <c r="I8" s="126">
        <v>14028000</v>
      </c>
      <c r="J8" s="126">
        <v>1</v>
      </c>
      <c r="K8" s="126">
        <v>39800000</v>
      </c>
      <c r="L8" s="126">
        <v>1</v>
      </c>
      <c r="M8" s="126">
        <v>19666000</v>
      </c>
      <c r="N8" s="115">
        <v>0</v>
      </c>
      <c r="O8" s="115">
        <v>0</v>
      </c>
    </row>
    <row r="9" spans="1:15" x14ac:dyDescent="0.25">
      <c r="A9" s="125" t="s">
        <v>62</v>
      </c>
      <c r="B9" s="124">
        <v>5</v>
      </c>
      <c r="C9" s="124">
        <v>144540877</v>
      </c>
      <c r="D9" s="126">
        <v>1</v>
      </c>
      <c r="E9" s="126">
        <v>17979817</v>
      </c>
      <c r="F9" s="126">
        <v>2</v>
      </c>
      <c r="G9" s="126">
        <v>47944689</v>
      </c>
      <c r="H9" s="126">
        <v>1</v>
      </c>
      <c r="I9" s="126">
        <v>3850000</v>
      </c>
      <c r="J9" s="126">
        <v>1</v>
      </c>
      <c r="K9" s="126">
        <v>74766371</v>
      </c>
      <c r="L9" s="126">
        <v>0</v>
      </c>
      <c r="M9" s="126">
        <v>0</v>
      </c>
      <c r="N9" s="115">
        <v>0</v>
      </c>
      <c r="O9" s="115">
        <v>0</v>
      </c>
    </row>
    <row r="10" spans="1:15" x14ac:dyDescent="0.25">
      <c r="A10" s="125" t="s">
        <v>67</v>
      </c>
      <c r="B10" s="124">
        <v>2</v>
      </c>
      <c r="C10" s="124">
        <v>20597725</v>
      </c>
      <c r="D10" s="126">
        <v>1</v>
      </c>
      <c r="E10" s="126">
        <v>9191269</v>
      </c>
      <c r="F10" s="126">
        <v>0</v>
      </c>
      <c r="G10" s="126">
        <v>0</v>
      </c>
      <c r="H10" s="126">
        <v>0</v>
      </c>
      <c r="I10" s="126">
        <v>0</v>
      </c>
      <c r="J10" s="126">
        <v>1</v>
      </c>
      <c r="K10" s="126">
        <v>11406456</v>
      </c>
      <c r="L10" s="126">
        <v>0</v>
      </c>
      <c r="M10" s="126">
        <v>0</v>
      </c>
      <c r="N10" s="115">
        <v>0</v>
      </c>
      <c r="O10" s="115">
        <v>0</v>
      </c>
    </row>
    <row r="11" spans="1:15" x14ac:dyDescent="0.25">
      <c r="A11" s="125" t="s">
        <v>63</v>
      </c>
      <c r="B11" s="124">
        <v>22</v>
      </c>
      <c r="C11" s="124">
        <v>222085713</v>
      </c>
      <c r="D11" s="126">
        <v>10</v>
      </c>
      <c r="E11" s="126">
        <v>87355792</v>
      </c>
      <c r="F11" s="126">
        <v>1</v>
      </c>
      <c r="G11" s="126">
        <v>1349990</v>
      </c>
      <c r="H11" s="126">
        <v>5</v>
      </c>
      <c r="I11" s="126">
        <v>26684000</v>
      </c>
      <c r="J11" s="126">
        <v>2</v>
      </c>
      <c r="K11" s="126">
        <v>87193677</v>
      </c>
      <c r="L11" s="126">
        <v>1</v>
      </c>
      <c r="M11" s="126">
        <v>12520000</v>
      </c>
      <c r="N11" s="115">
        <v>3</v>
      </c>
      <c r="O11" s="115">
        <v>6982254</v>
      </c>
    </row>
    <row r="12" spans="1:15" x14ac:dyDescent="0.25">
      <c r="A12" s="125" t="s">
        <v>64</v>
      </c>
      <c r="B12" s="124">
        <v>153</v>
      </c>
      <c r="C12" s="124">
        <v>1135544018</v>
      </c>
      <c r="D12" s="126">
        <v>32</v>
      </c>
      <c r="E12" s="126">
        <v>356525271</v>
      </c>
      <c r="F12" s="126">
        <v>58</v>
      </c>
      <c r="G12" s="126">
        <v>448606380</v>
      </c>
      <c r="H12" s="126">
        <v>50</v>
      </c>
      <c r="I12" s="126">
        <v>251972000</v>
      </c>
      <c r="J12" s="126">
        <v>0</v>
      </c>
      <c r="K12" s="126">
        <v>0</v>
      </c>
      <c r="L12" s="126">
        <v>4</v>
      </c>
      <c r="M12" s="126">
        <v>53600102</v>
      </c>
      <c r="N12" s="115">
        <v>9</v>
      </c>
      <c r="O12" s="115">
        <v>24840265</v>
      </c>
    </row>
    <row r="13" spans="1:15" x14ac:dyDescent="0.25">
      <c r="A13" s="125" t="s">
        <v>61</v>
      </c>
      <c r="B13" s="124">
        <v>282</v>
      </c>
      <c r="C13" s="124">
        <v>2022281155.1500001</v>
      </c>
      <c r="D13" s="126">
        <v>52</v>
      </c>
      <c r="E13" s="126">
        <v>611398724</v>
      </c>
      <c r="F13" s="126">
        <v>87</v>
      </c>
      <c r="G13" s="126">
        <v>587351595</v>
      </c>
      <c r="H13" s="126">
        <v>67</v>
      </c>
      <c r="I13" s="126">
        <v>319900000</v>
      </c>
      <c r="J13" s="126">
        <v>7</v>
      </c>
      <c r="K13" s="126">
        <v>295585424</v>
      </c>
      <c r="L13" s="126">
        <v>3</v>
      </c>
      <c r="M13" s="126">
        <v>68936097</v>
      </c>
      <c r="N13" s="115">
        <v>66</v>
      </c>
      <c r="O13" s="115">
        <v>139109315.15000001</v>
      </c>
    </row>
    <row r="14" spans="1:15" x14ac:dyDescent="0.25">
      <c r="A14" s="125" t="s">
        <v>65</v>
      </c>
      <c r="B14" s="124">
        <v>20</v>
      </c>
      <c r="C14" s="124">
        <v>189501344</v>
      </c>
      <c r="D14" s="126">
        <v>8</v>
      </c>
      <c r="E14" s="126">
        <v>69998982</v>
      </c>
      <c r="F14" s="126">
        <v>5</v>
      </c>
      <c r="G14" s="126">
        <v>82930501</v>
      </c>
      <c r="H14" s="126">
        <v>4</v>
      </c>
      <c r="I14" s="126">
        <v>20356000</v>
      </c>
      <c r="J14" s="126">
        <v>1</v>
      </c>
      <c r="K14" s="126">
        <v>11432700</v>
      </c>
      <c r="L14" s="126">
        <v>0</v>
      </c>
      <c r="M14" s="126">
        <v>0</v>
      </c>
      <c r="N14" s="115">
        <v>2</v>
      </c>
      <c r="O14" s="115">
        <v>4783161</v>
      </c>
    </row>
    <row r="15" spans="1:15" x14ac:dyDescent="0.25">
      <c r="A15" s="125" t="s">
        <v>57</v>
      </c>
      <c r="B15" s="124">
        <v>14</v>
      </c>
      <c r="C15" s="124">
        <v>164396556</v>
      </c>
      <c r="D15" s="126">
        <v>4</v>
      </c>
      <c r="E15" s="126">
        <v>28490178</v>
      </c>
      <c r="F15" s="126">
        <v>4</v>
      </c>
      <c r="G15" s="126">
        <v>12750166</v>
      </c>
      <c r="H15" s="126">
        <v>3</v>
      </c>
      <c r="I15" s="126">
        <v>14028000</v>
      </c>
      <c r="J15" s="126">
        <v>2</v>
      </c>
      <c r="K15" s="126">
        <v>84425110</v>
      </c>
      <c r="L15" s="126">
        <v>1</v>
      </c>
      <c r="M15" s="126">
        <v>24703102</v>
      </c>
      <c r="N15" s="115">
        <v>0</v>
      </c>
      <c r="O15" s="115">
        <v>0</v>
      </c>
    </row>
    <row r="16" spans="1:15" x14ac:dyDescent="0.25">
      <c r="A16" s="125" t="s">
        <v>87</v>
      </c>
      <c r="B16" s="124">
        <v>8</v>
      </c>
      <c r="C16" s="124">
        <v>82811918</v>
      </c>
      <c r="D16" s="126">
        <v>4</v>
      </c>
      <c r="E16" s="126">
        <v>55130728</v>
      </c>
      <c r="F16" s="126">
        <v>1</v>
      </c>
      <c r="G16" s="126">
        <v>8697190</v>
      </c>
      <c r="H16" s="126">
        <v>3</v>
      </c>
      <c r="I16" s="126">
        <v>18984000</v>
      </c>
      <c r="J16" s="126">
        <v>0</v>
      </c>
      <c r="K16" s="126">
        <v>0</v>
      </c>
      <c r="L16" s="126">
        <v>0</v>
      </c>
      <c r="M16" s="126"/>
      <c r="N16" s="115">
        <v>0</v>
      </c>
      <c r="O16" s="115">
        <v>0</v>
      </c>
    </row>
    <row r="17" spans="1:15" x14ac:dyDescent="0.25">
      <c r="A17" s="125" t="s">
        <v>89</v>
      </c>
      <c r="B17" s="124">
        <v>25</v>
      </c>
      <c r="C17" s="124">
        <v>256137738</v>
      </c>
      <c r="D17" s="126">
        <v>4</v>
      </c>
      <c r="E17" s="126">
        <v>80009770</v>
      </c>
      <c r="F17" s="126">
        <v>7</v>
      </c>
      <c r="G17" s="126">
        <v>54217365</v>
      </c>
      <c r="H17" s="126">
        <v>10</v>
      </c>
      <c r="I17" s="126">
        <v>50890000</v>
      </c>
      <c r="J17" s="126">
        <v>2</v>
      </c>
      <c r="K17" s="126">
        <v>57718255</v>
      </c>
      <c r="L17" s="126">
        <v>1</v>
      </c>
      <c r="M17" s="126">
        <v>11550000</v>
      </c>
      <c r="N17" s="115">
        <v>1</v>
      </c>
      <c r="O17" s="115">
        <v>1752348</v>
      </c>
    </row>
    <row r="18" spans="1:15" x14ac:dyDescent="0.25">
      <c r="A18" s="125" t="s">
        <v>90</v>
      </c>
      <c r="B18" s="124">
        <v>22</v>
      </c>
      <c r="C18" s="124">
        <v>236993585</v>
      </c>
      <c r="D18" s="126">
        <v>10</v>
      </c>
      <c r="E18" s="126">
        <v>162128011</v>
      </c>
      <c r="F18" s="126">
        <v>4</v>
      </c>
      <c r="G18" s="126">
        <v>38595231</v>
      </c>
      <c r="H18" s="126">
        <v>6</v>
      </c>
      <c r="I18" s="126">
        <v>30534000</v>
      </c>
      <c r="J18" s="126">
        <v>0</v>
      </c>
      <c r="K18" s="126">
        <v>0</v>
      </c>
      <c r="L18" s="126">
        <v>0</v>
      </c>
      <c r="M18" s="126">
        <v>0</v>
      </c>
      <c r="N18" s="115">
        <v>2</v>
      </c>
      <c r="O18" s="115">
        <v>5736343</v>
      </c>
    </row>
    <row r="19" spans="1:15" x14ac:dyDescent="0.25">
      <c r="A19" s="125" t="s">
        <v>94</v>
      </c>
      <c r="B19" s="124">
        <v>37</v>
      </c>
      <c r="C19" s="124">
        <v>444100234</v>
      </c>
      <c r="D19" s="126">
        <v>15</v>
      </c>
      <c r="E19" s="126">
        <v>230874425</v>
      </c>
      <c r="F19" s="126">
        <v>12</v>
      </c>
      <c r="G19" s="126">
        <v>100663084</v>
      </c>
      <c r="H19" s="126">
        <v>8</v>
      </c>
      <c r="I19" s="126">
        <v>35756000</v>
      </c>
      <c r="J19" s="126">
        <v>1</v>
      </c>
      <c r="K19" s="126">
        <v>73909549</v>
      </c>
      <c r="L19" s="126">
        <v>0</v>
      </c>
      <c r="M19" s="126">
        <v>0</v>
      </c>
      <c r="N19" s="115">
        <v>1</v>
      </c>
      <c r="O19" s="115">
        <v>2897176</v>
      </c>
    </row>
    <row r="20" spans="1:15" x14ac:dyDescent="0.25">
      <c r="A20" s="125" t="s">
        <v>66</v>
      </c>
      <c r="B20" s="124">
        <v>43</v>
      </c>
      <c r="C20" s="124">
        <v>488849959</v>
      </c>
      <c r="D20" s="126">
        <v>13</v>
      </c>
      <c r="E20" s="126">
        <v>194563073</v>
      </c>
      <c r="F20" s="126">
        <v>10</v>
      </c>
      <c r="G20" s="126">
        <v>133651567</v>
      </c>
      <c r="H20" s="126">
        <v>15</v>
      </c>
      <c r="I20" s="126">
        <v>75096000</v>
      </c>
      <c r="J20" s="126">
        <v>2</v>
      </c>
      <c r="K20" s="126">
        <v>55877322</v>
      </c>
      <c r="L20" s="126">
        <v>1</v>
      </c>
      <c r="M20" s="126">
        <v>23465618</v>
      </c>
      <c r="N20" s="115">
        <v>2</v>
      </c>
      <c r="O20" s="115">
        <v>6196379</v>
      </c>
    </row>
    <row r="21" spans="1:15" x14ac:dyDescent="0.25">
      <c r="A21" s="125" t="s">
        <v>70</v>
      </c>
      <c r="B21" s="124">
        <v>3</v>
      </c>
      <c r="C21" s="124">
        <v>17731607</v>
      </c>
      <c r="D21" s="126">
        <v>1</v>
      </c>
      <c r="E21" s="126">
        <v>7553607</v>
      </c>
      <c r="F21" s="126">
        <v>0</v>
      </c>
      <c r="G21" s="126">
        <v>0</v>
      </c>
      <c r="H21" s="126">
        <v>2</v>
      </c>
      <c r="I21" s="126">
        <v>10178000</v>
      </c>
      <c r="J21" s="126">
        <v>0</v>
      </c>
      <c r="K21" s="126">
        <v>0</v>
      </c>
      <c r="L21" s="126">
        <v>0</v>
      </c>
      <c r="M21" s="126">
        <v>0</v>
      </c>
      <c r="N21" s="115">
        <v>0</v>
      </c>
      <c r="O21" s="115">
        <v>0</v>
      </c>
    </row>
    <row r="22" spans="1:15" x14ac:dyDescent="0.25">
      <c r="A22" s="125" t="s">
        <v>69</v>
      </c>
      <c r="B22" s="124">
        <v>5</v>
      </c>
      <c r="C22" s="124">
        <v>78421552</v>
      </c>
      <c r="D22" s="126">
        <v>2</v>
      </c>
      <c r="E22" s="126">
        <v>29894093</v>
      </c>
      <c r="F22" s="126">
        <v>1</v>
      </c>
      <c r="G22" s="126">
        <v>5949459</v>
      </c>
      <c r="H22" s="126">
        <v>1</v>
      </c>
      <c r="I22" s="126">
        <v>6328000</v>
      </c>
      <c r="J22" s="126">
        <v>1</v>
      </c>
      <c r="K22" s="126">
        <v>36250000</v>
      </c>
      <c r="L22" s="126">
        <v>0</v>
      </c>
      <c r="M22" s="126">
        <v>0</v>
      </c>
      <c r="N22" s="115">
        <v>0</v>
      </c>
      <c r="O22" s="115">
        <v>0</v>
      </c>
    </row>
    <row r="23" spans="1:15" x14ac:dyDescent="0.25">
      <c r="A23" s="63"/>
    </row>
    <row r="24" spans="1:15" x14ac:dyDescent="0.25">
      <c r="A24" s="93" t="s">
        <v>119</v>
      </c>
    </row>
    <row r="25" spans="1:15" x14ac:dyDescent="0.25">
      <c r="A25" s="117" t="s">
        <v>129</v>
      </c>
      <c r="B25" s="65"/>
      <c r="C25" s="65"/>
      <c r="D25" s="65"/>
      <c r="E25" s="65"/>
      <c r="F25" s="65"/>
      <c r="G25" s="65"/>
      <c r="H25" s="65"/>
      <c r="I25" s="65"/>
      <c r="J25" s="65"/>
      <c r="K25" s="65"/>
      <c r="L25" s="65"/>
      <c r="M25" s="65"/>
      <c r="N25" s="65"/>
      <c r="O25" s="65"/>
    </row>
    <row r="26" spans="1:15" ht="15" customHeight="1" x14ac:dyDescent="0.25">
      <c r="A26" s="94" t="s">
        <v>130</v>
      </c>
      <c r="B26" s="66"/>
      <c r="C26" s="66"/>
      <c r="D26" s="66"/>
      <c r="E26" s="66"/>
      <c r="F26" s="66"/>
      <c r="G26" s="66"/>
      <c r="H26" s="66"/>
      <c r="I26" s="66"/>
      <c r="J26" s="66"/>
      <c r="K26" s="66"/>
      <c r="L26" s="66"/>
      <c r="M26" s="66"/>
      <c r="N26" s="66"/>
      <c r="O26" s="66"/>
    </row>
    <row r="27" spans="1:15" ht="15" customHeight="1" x14ac:dyDescent="0.25">
      <c r="A27" s="117" t="s">
        <v>135</v>
      </c>
      <c r="B27" s="66"/>
      <c r="C27" s="66"/>
      <c r="D27" s="66"/>
      <c r="E27" s="66"/>
      <c r="F27" s="66"/>
      <c r="G27" s="66"/>
      <c r="H27" s="66"/>
      <c r="I27" s="66"/>
      <c r="J27" s="66"/>
      <c r="K27" s="66"/>
      <c r="L27" s="66"/>
      <c r="M27" s="66"/>
      <c r="N27" s="66"/>
      <c r="O27" s="66"/>
    </row>
    <row r="28" spans="1:15" ht="15" customHeight="1" x14ac:dyDescent="0.25">
      <c r="A28" s="95" t="s">
        <v>103</v>
      </c>
      <c r="B28" s="46"/>
      <c r="C28" s="46"/>
      <c r="D28" s="46"/>
      <c r="E28" s="46"/>
      <c r="F28" s="46"/>
      <c r="G28" s="46"/>
      <c r="H28" s="46"/>
      <c r="I28" s="46"/>
      <c r="J28" s="46"/>
      <c r="K28" s="46"/>
      <c r="L28" s="46"/>
      <c r="M28" s="46"/>
      <c r="N28" s="46"/>
      <c r="O28" s="4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66E4-60F0-4B5A-8F9B-E7DD429A9134}">
  <sheetPr>
    <tabColor rgb="FF92D050"/>
  </sheetPr>
  <dimension ref="A2:O28"/>
  <sheetViews>
    <sheetView workbookViewId="0">
      <selection activeCell="A21" sqref="A21"/>
    </sheetView>
  </sheetViews>
  <sheetFormatPr baseColWidth="10" defaultColWidth="9.140625" defaultRowHeight="10.5" x14ac:dyDescent="0.15"/>
  <cols>
    <col min="1" max="1" width="25" style="68" customWidth="1"/>
    <col min="2" max="2" width="10.7109375" style="68" customWidth="1"/>
    <col min="3" max="3" width="21.42578125" style="68" customWidth="1"/>
    <col min="4" max="4" width="10.7109375" style="68" customWidth="1"/>
    <col min="5" max="5" width="21.42578125" style="68" customWidth="1"/>
    <col min="6" max="6" width="10.7109375" style="68" customWidth="1"/>
    <col min="7" max="7" width="21.42578125" style="68" customWidth="1"/>
    <col min="8" max="8" width="10.7109375" style="68" customWidth="1"/>
    <col min="9" max="9" width="21.42578125" style="68" customWidth="1"/>
    <col min="10" max="10" width="10.7109375" style="68" customWidth="1"/>
    <col min="11" max="11" width="21.42578125" style="68" customWidth="1"/>
    <col min="12" max="12" width="10.7109375" style="68" customWidth="1"/>
    <col min="13" max="13" width="21.42578125" style="68" customWidth="1"/>
    <col min="14" max="14" width="10.7109375" style="68" customWidth="1"/>
    <col min="15" max="15" width="21.42578125" style="68" customWidth="1"/>
    <col min="16" max="16384" width="9.140625" style="68"/>
  </cols>
  <sheetData>
    <row r="2" spans="1:15" s="67" customFormat="1" ht="11.25" x14ac:dyDescent="0.15">
      <c r="A2" s="127" t="s">
        <v>137</v>
      </c>
      <c r="K2" s="68"/>
    </row>
    <row r="3" spans="1:15" x14ac:dyDescent="0.15">
      <c r="A3" s="47"/>
    </row>
    <row r="4" spans="1:15" ht="31.5" x14ac:dyDescent="0.15">
      <c r="A4" s="79" t="s">
        <v>114</v>
      </c>
      <c r="B4" s="128" t="s">
        <v>138</v>
      </c>
      <c r="C4" s="48"/>
      <c r="D4" s="45" t="s">
        <v>105</v>
      </c>
      <c r="E4" s="48"/>
      <c r="F4" s="129" t="s">
        <v>139</v>
      </c>
      <c r="G4" s="130"/>
      <c r="H4" s="45" t="s">
        <v>106</v>
      </c>
      <c r="I4" s="80"/>
      <c r="J4" s="129" t="s">
        <v>140</v>
      </c>
      <c r="K4" s="130"/>
      <c r="L4" s="129" t="s">
        <v>141</v>
      </c>
      <c r="M4" s="130"/>
      <c r="N4" s="108" t="s">
        <v>128</v>
      </c>
      <c r="O4" s="69"/>
    </row>
    <row r="5" spans="1:15" x14ac:dyDescent="0.15">
      <c r="A5" s="70"/>
      <c r="B5" s="71" t="s">
        <v>102</v>
      </c>
      <c r="C5" s="49" t="s">
        <v>118</v>
      </c>
      <c r="D5" s="71" t="s">
        <v>102</v>
      </c>
      <c r="E5" s="49" t="s">
        <v>118</v>
      </c>
      <c r="F5" s="71" t="s">
        <v>102</v>
      </c>
      <c r="G5" s="49" t="s">
        <v>118</v>
      </c>
      <c r="H5" s="71" t="s">
        <v>102</v>
      </c>
      <c r="I5" s="49" t="s">
        <v>118</v>
      </c>
      <c r="J5" s="71" t="s">
        <v>102</v>
      </c>
      <c r="K5" s="49" t="s">
        <v>118</v>
      </c>
      <c r="L5" s="71" t="s">
        <v>102</v>
      </c>
      <c r="M5" s="49" t="s">
        <v>118</v>
      </c>
      <c r="N5" s="71" t="s">
        <v>102</v>
      </c>
      <c r="O5" s="49" t="s">
        <v>118</v>
      </c>
    </row>
    <row r="6" spans="1:15" x14ac:dyDescent="0.15">
      <c r="A6" s="131" t="s">
        <v>9</v>
      </c>
      <c r="B6" s="132">
        <v>456</v>
      </c>
      <c r="C6" s="132">
        <v>9644299912</v>
      </c>
      <c r="D6" s="132">
        <v>29</v>
      </c>
      <c r="E6" s="132">
        <v>4338409934</v>
      </c>
      <c r="F6" s="132">
        <v>26</v>
      </c>
      <c r="G6" s="132">
        <v>858490058</v>
      </c>
      <c r="H6" s="132">
        <v>15</v>
      </c>
      <c r="I6" s="132">
        <v>821466387</v>
      </c>
      <c r="J6" s="132">
        <v>14</v>
      </c>
      <c r="K6" s="132">
        <v>558640623</v>
      </c>
      <c r="L6" s="132">
        <v>20</v>
      </c>
      <c r="M6" s="132">
        <v>485453638</v>
      </c>
      <c r="N6" s="132">
        <v>352</v>
      </c>
      <c r="O6" s="132">
        <v>2581839272</v>
      </c>
    </row>
    <row r="7" spans="1:15" x14ac:dyDescent="0.15">
      <c r="A7" s="133" t="s">
        <v>68</v>
      </c>
      <c r="B7" s="132">
        <v>8</v>
      </c>
      <c r="C7" s="132">
        <v>232347507</v>
      </c>
      <c r="D7" s="134">
        <v>1</v>
      </c>
      <c r="E7" s="134">
        <v>143929500</v>
      </c>
      <c r="F7" s="134">
        <v>1</v>
      </c>
      <c r="G7" s="134">
        <v>43618007</v>
      </c>
      <c r="H7" s="134">
        <v>0</v>
      </c>
      <c r="I7" s="134">
        <v>0</v>
      </c>
      <c r="J7" s="134">
        <v>0</v>
      </c>
      <c r="K7" s="134">
        <v>0</v>
      </c>
      <c r="L7" s="134">
        <v>1</v>
      </c>
      <c r="M7" s="134">
        <v>21000000</v>
      </c>
      <c r="N7" s="135">
        <v>5</v>
      </c>
      <c r="O7" s="135">
        <v>23800000</v>
      </c>
    </row>
    <row r="8" spans="1:15" x14ac:dyDescent="0.15">
      <c r="A8" s="133" t="s">
        <v>58</v>
      </c>
      <c r="B8" s="132">
        <v>3</v>
      </c>
      <c r="C8" s="132">
        <v>40952614</v>
      </c>
      <c r="D8" s="134">
        <v>0</v>
      </c>
      <c r="E8" s="134">
        <v>0</v>
      </c>
      <c r="F8" s="134">
        <v>0</v>
      </c>
      <c r="G8" s="134">
        <v>0</v>
      </c>
      <c r="H8" s="134">
        <v>0</v>
      </c>
      <c r="I8" s="134">
        <v>0</v>
      </c>
      <c r="J8" s="134">
        <v>0</v>
      </c>
      <c r="K8" s="134">
        <v>0</v>
      </c>
      <c r="L8" s="134">
        <v>1</v>
      </c>
      <c r="M8" s="134">
        <v>20111189</v>
      </c>
      <c r="N8" s="135">
        <v>2</v>
      </c>
      <c r="O8" s="135">
        <v>20841425</v>
      </c>
    </row>
    <row r="9" spans="1:15" x14ac:dyDescent="0.15">
      <c r="A9" s="133" t="s">
        <v>62</v>
      </c>
      <c r="B9" s="132">
        <v>7</v>
      </c>
      <c r="C9" s="132">
        <v>177196805</v>
      </c>
      <c r="D9" s="134">
        <v>0</v>
      </c>
      <c r="E9" s="134">
        <v>0</v>
      </c>
      <c r="F9" s="134">
        <v>0</v>
      </c>
      <c r="G9" s="134">
        <v>0</v>
      </c>
      <c r="H9" s="134">
        <v>2</v>
      </c>
      <c r="I9" s="134">
        <v>125417928</v>
      </c>
      <c r="J9" s="134">
        <v>0</v>
      </c>
      <c r="K9" s="134">
        <v>0</v>
      </c>
      <c r="L9" s="134">
        <v>0</v>
      </c>
      <c r="M9" s="134">
        <v>0</v>
      </c>
      <c r="N9" s="135">
        <v>5</v>
      </c>
      <c r="O9" s="135">
        <v>51778877</v>
      </c>
    </row>
    <row r="10" spans="1:15" x14ac:dyDescent="0.15">
      <c r="A10" s="133" t="s">
        <v>67</v>
      </c>
      <c r="B10" s="132">
        <v>2</v>
      </c>
      <c r="C10" s="132">
        <v>81818813</v>
      </c>
      <c r="D10" s="134">
        <v>0</v>
      </c>
      <c r="E10" s="134">
        <v>0</v>
      </c>
      <c r="F10" s="134">
        <v>0</v>
      </c>
      <c r="G10" s="134">
        <v>0</v>
      </c>
      <c r="H10" s="134">
        <v>2</v>
      </c>
      <c r="I10" s="134">
        <v>81818813</v>
      </c>
      <c r="J10" s="134">
        <v>0</v>
      </c>
      <c r="K10" s="134">
        <v>0</v>
      </c>
      <c r="L10" s="134">
        <v>0</v>
      </c>
      <c r="M10" s="134">
        <v>0</v>
      </c>
      <c r="N10" s="135">
        <v>0</v>
      </c>
      <c r="O10" s="135">
        <v>0</v>
      </c>
    </row>
    <row r="11" spans="1:15" x14ac:dyDescent="0.15">
      <c r="A11" s="133" t="s">
        <v>63</v>
      </c>
      <c r="B11" s="132">
        <v>6</v>
      </c>
      <c r="C11" s="132">
        <v>161844765</v>
      </c>
      <c r="D11" s="134">
        <v>0</v>
      </c>
      <c r="E11" s="134">
        <v>0</v>
      </c>
      <c r="F11" s="134">
        <v>1</v>
      </c>
      <c r="G11" s="134">
        <v>45000000</v>
      </c>
      <c r="H11" s="134">
        <v>1</v>
      </c>
      <c r="I11" s="134">
        <v>80078984</v>
      </c>
      <c r="J11" s="134">
        <v>0</v>
      </c>
      <c r="K11" s="134">
        <v>0</v>
      </c>
      <c r="L11" s="134">
        <v>0</v>
      </c>
      <c r="M11" s="134">
        <v>0</v>
      </c>
      <c r="N11" s="135">
        <v>4</v>
      </c>
      <c r="O11" s="135">
        <v>36765781</v>
      </c>
    </row>
    <row r="12" spans="1:15" x14ac:dyDescent="0.15">
      <c r="A12" s="133" t="s">
        <v>64</v>
      </c>
      <c r="B12" s="132">
        <v>55</v>
      </c>
      <c r="C12" s="132">
        <v>1602943697</v>
      </c>
      <c r="D12" s="134">
        <v>5</v>
      </c>
      <c r="E12" s="134">
        <v>767295879</v>
      </c>
      <c r="F12" s="134">
        <v>9</v>
      </c>
      <c r="G12" s="134">
        <v>254769663</v>
      </c>
      <c r="H12" s="134">
        <v>5</v>
      </c>
      <c r="I12" s="134">
        <v>122492880</v>
      </c>
      <c r="J12" s="134">
        <v>4</v>
      </c>
      <c r="K12" s="134">
        <v>54824561</v>
      </c>
      <c r="L12" s="134">
        <v>1</v>
      </c>
      <c r="M12" s="134">
        <v>24420428</v>
      </c>
      <c r="N12" s="135">
        <v>31</v>
      </c>
      <c r="O12" s="135">
        <v>379140286</v>
      </c>
    </row>
    <row r="13" spans="1:15" x14ac:dyDescent="0.15">
      <c r="A13" s="133" t="s">
        <v>61</v>
      </c>
      <c r="B13" s="132">
        <v>295</v>
      </c>
      <c r="C13" s="132">
        <v>5727425703</v>
      </c>
      <c r="D13" s="134">
        <v>22</v>
      </c>
      <c r="E13" s="134">
        <v>3212684555</v>
      </c>
      <c r="F13" s="134">
        <v>5</v>
      </c>
      <c r="G13" s="134">
        <v>180442853</v>
      </c>
      <c r="H13" s="134">
        <v>0</v>
      </c>
      <c r="I13" s="134">
        <v>0</v>
      </c>
      <c r="J13" s="134">
        <v>9</v>
      </c>
      <c r="K13" s="134">
        <v>493851056</v>
      </c>
      <c r="L13" s="134">
        <v>16</v>
      </c>
      <c r="M13" s="134">
        <v>384926627</v>
      </c>
      <c r="N13" s="135">
        <v>243</v>
      </c>
      <c r="O13" s="135">
        <v>1455520612</v>
      </c>
    </row>
    <row r="14" spans="1:15" x14ac:dyDescent="0.15">
      <c r="A14" s="133" t="s">
        <v>65</v>
      </c>
      <c r="B14" s="132">
        <v>8</v>
      </c>
      <c r="C14" s="132">
        <v>129933438</v>
      </c>
      <c r="D14" s="134">
        <v>0</v>
      </c>
      <c r="E14" s="134">
        <v>0</v>
      </c>
      <c r="F14" s="134">
        <v>1</v>
      </c>
      <c r="G14" s="134">
        <v>13966745</v>
      </c>
      <c r="H14" s="134">
        <v>0</v>
      </c>
      <c r="I14" s="134">
        <v>0</v>
      </c>
      <c r="J14" s="134">
        <v>0</v>
      </c>
      <c r="K14" s="134">
        <v>0</v>
      </c>
      <c r="L14" s="134">
        <v>0</v>
      </c>
      <c r="M14" s="134">
        <v>0</v>
      </c>
      <c r="N14" s="135">
        <v>7</v>
      </c>
      <c r="O14" s="135">
        <v>115966693</v>
      </c>
    </row>
    <row r="15" spans="1:15" x14ac:dyDescent="0.15">
      <c r="A15" s="133" t="s">
        <v>57</v>
      </c>
      <c r="B15" s="132">
        <v>16</v>
      </c>
      <c r="C15" s="132">
        <v>236161157</v>
      </c>
      <c r="D15" s="134">
        <v>0</v>
      </c>
      <c r="E15" s="134">
        <v>0</v>
      </c>
      <c r="F15" s="134">
        <v>3</v>
      </c>
      <c r="G15" s="134">
        <v>73890449</v>
      </c>
      <c r="H15" s="134">
        <v>1</v>
      </c>
      <c r="I15" s="134">
        <v>26094454</v>
      </c>
      <c r="J15" s="134">
        <v>1</v>
      </c>
      <c r="K15" s="134">
        <v>9965006</v>
      </c>
      <c r="L15" s="134">
        <v>1</v>
      </c>
      <c r="M15" s="134">
        <v>34995394</v>
      </c>
      <c r="N15" s="135">
        <v>10</v>
      </c>
      <c r="O15" s="135">
        <v>91215854</v>
      </c>
    </row>
    <row r="16" spans="1:15" x14ac:dyDescent="0.15">
      <c r="A16" s="133" t="s">
        <v>87</v>
      </c>
      <c r="B16" s="132">
        <v>5</v>
      </c>
      <c r="C16" s="132">
        <v>80382000</v>
      </c>
      <c r="D16" s="134">
        <v>0</v>
      </c>
      <c r="E16" s="134">
        <v>0</v>
      </c>
      <c r="F16" s="134">
        <v>1</v>
      </c>
      <c r="G16" s="134">
        <v>47382000</v>
      </c>
      <c r="H16" s="134">
        <v>0</v>
      </c>
      <c r="I16" s="134">
        <v>0</v>
      </c>
      <c r="J16" s="134">
        <v>0</v>
      </c>
      <c r="K16" s="134">
        <v>0</v>
      </c>
      <c r="L16" s="134">
        <v>0</v>
      </c>
      <c r="M16" s="134">
        <v>0</v>
      </c>
      <c r="N16" s="135">
        <v>4</v>
      </c>
      <c r="O16" s="135">
        <v>33000000</v>
      </c>
    </row>
    <row r="17" spans="1:15" x14ac:dyDescent="0.15">
      <c r="A17" s="133" t="s">
        <v>89</v>
      </c>
      <c r="B17" s="132">
        <v>13</v>
      </c>
      <c r="C17" s="132">
        <v>214010268</v>
      </c>
      <c r="D17" s="134">
        <v>0</v>
      </c>
      <c r="E17" s="134">
        <v>0</v>
      </c>
      <c r="F17" s="134">
        <v>1</v>
      </c>
      <c r="G17" s="134">
        <v>50000000</v>
      </c>
      <c r="H17" s="134">
        <v>1</v>
      </c>
      <c r="I17" s="134">
        <v>35977980</v>
      </c>
      <c r="J17" s="134">
        <v>0</v>
      </c>
      <c r="K17" s="134">
        <v>0</v>
      </c>
      <c r="L17" s="134">
        <v>0</v>
      </c>
      <c r="M17" s="134">
        <v>0</v>
      </c>
      <c r="N17" s="135">
        <v>11</v>
      </c>
      <c r="O17" s="135">
        <v>128032288</v>
      </c>
    </row>
    <row r="18" spans="1:15" x14ac:dyDescent="0.15">
      <c r="A18" s="133" t="s">
        <v>90</v>
      </c>
      <c r="B18" s="132">
        <v>13</v>
      </c>
      <c r="C18" s="132">
        <v>151219858</v>
      </c>
      <c r="D18" s="134">
        <v>0</v>
      </c>
      <c r="E18" s="134">
        <v>0</v>
      </c>
      <c r="F18" s="134">
        <v>1</v>
      </c>
      <c r="G18" s="134">
        <v>49645000</v>
      </c>
      <c r="H18" s="134">
        <v>0</v>
      </c>
      <c r="I18" s="134">
        <v>0</v>
      </c>
      <c r="J18" s="134">
        <v>0</v>
      </c>
      <c r="K18" s="134">
        <v>0</v>
      </c>
      <c r="L18" s="134">
        <v>0</v>
      </c>
      <c r="M18" s="134">
        <v>0</v>
      </c>
      <c r="N18" s="135">
        <v>12</v>
      </c>
      <c r="O18" s="135">
        <v>101574858</v>
      </c>
    </row>
    <row r="19" spans="1:15" x14ac:dyDescent="0.15">
      <c r="A19" s="133" t="s">
        <v>94</v>
      </c>
      <c r="B19" s="132">
        <v>11</v>
      </c>
      <c r="C19" s="132">
        <v>489859456</v>
      </c>
      <c r="D19" s="134">
        <v>1</v>
      </c>
      <c r="E19" s="134">
        <v>214500000</v>
      </c>
      <c r="F19" s="134">
        <v>0</v>
      </c>
      <c r="G19" s="134">
        <v>0</v>
      </c>
      <c r="H19" s="134">
        <v>1</v>
      </c>
      <c r="I19" s="134">
        <v>211791597</v>
      </c>
      <c r="J19" s="134">
        <v>0</v>
      </c>
      <c r="K19" s="134">
        <v>0</v>
      </c>
      <c r="L19" s="134">
        <v>0</v>
      </c>
      <c r="M19" s="134">
        <v>0</v>
      </c>
      <c r="N19" s="135">
        <v>9</v>
      </c>
      <c r="O19" s="135">
        <v>63567859</v>
      </c>
    </row>
    <row r="20" spans="1:15" x14ac:dyDescent="0.15">
      <c r="A20" s="133" t="s">
        <v>66</v>
      </c>
      <c r="B20" s="132">
        <v>11</v>
      </c>
      <c r="C20" s="132">
        <v>272347036</v>
      </c>
      <c r="D20" s="134">
        <v>0</v>
      </c>
      <c r="E20" s="134">
        <v>0</v>
      </c>
      <c r="F20" s="134">
        <v>3</v>
      </c>
      <c r="G20" s="134">
        <v>99775341</v>
      </c>
      <c r="H20" s="134">
        <v>2</v>
      </c>
      <c r="I20" s="134">
        <v>137793751</v>
      </c>
      <c r="J20" s="134">
        <v>0</v>
      </c>
      <c r="K20" s="134">
        <v>0</v>
      </c>
      <c r="L20" s="134">
        <v>0</v>
      </c>
      <c r="M20" s="134">
        <v>0</v>
      </c>
      <c r="N20" s="135">
        <v>6</v>
      </c>
      <c r="O20" s="135">
        <v>34777944</v>
      </c>
    </row>
    <row r="21" spans="1:15" x14ac:dyDescent="0.15">
      <c r="A21" s="133" t="s">
        <v>70</v>
      </c>
      <c r="B21" s="132">
        <v>2</v>
      </c>
      <c r="C21" s="132">
        <v>37986795</v>
      </c>
      <c r="D21" s="134">
        <v>0</v>
      </c>
      <c r="E21" s="134">
        <v>0</v>
      </c>
      <c r="F21" s="134">
        <v>0</v>
      </c>
      <c r="G21" s="134">
        <v>0</v>
      </c>
      <c r="H21" s="134">
        <v>0</v>
      </c>
      <c r="I21" s="134">
        <v>0</v>
      </c>
      <c r="J21" s="134">
        <v>0</v>
      </c>
      <c r="K21" s="134">
        <v>0</v>
      </c>
      <c r="L21" s="134">
        <v>0</v>
      </c>
      <c r="M21" s="134">
        <v>0</v>
      </c>
      <c r="N21" s="135">
        <v>2</v>
      </c>
      <c r="O21" s="135">
        <v>37986795</v>
      </c>
    </row>
    <row r="22" spans="1:15" x14ac:dyDescent="0.15">
      <c r="A22" s="133" t="s">
        <v>69</v>
      </c>
      <c r="B22" s="132">
        <v>1</v>
      </c>
      <c r="C22" s="132">
        <v>7870000</v>
      </c>
      <c r="D22" s="134">
        <v>0</v>
      </c>
      <c r="E22" s="134">
        <v>0</v>
      </c>
      <c r="F22" s="134">
        <v>0</v>
      </c>
      <c r="G22" s="134">
        <v>0</v>
      </c>
      <c r="H22" s="134">
        <v>0</v>
      </c>
      <c r="I22" s="134">
        <v>0</v>
      </c>
      <c r="J22" s="134">
        <v>0</v>
      </c>
      <c r="K22" s="134">
        <v>0</v>
      </c>
      <c r="L22" s="134">
        <v>0</v>
      </c>
      <c r="M22" s="134">
        <v>0</v>
      </c>
      <c r="N22" s="135">
        <v>1</v>
      </c>
      <c r="O22" s="135">
        <v>7870000</v>
      </c>
    </row>
    <row r="23" spans="1:15" ht="11.25" customHeight="1" x14ac:dyDescent="0.15">
      <c r="A23" s="47"/>
    </row>
    <row r="24" spans="1:15" x14ac:dyDescent="0.15">
      <c r="A24" s="93" t="s">
        <v>119</v>
      </c>
    </row>
    <row r="25" spans="1:15" x14ac:dyDescent="0.15">
      <c r="A25" s="117" t="s">
        <v>129</v>
      </c>
    </row>
    <row r="26" spans="1:15" s="32" customFormat="1" x14ac:dyDescent="0.25">
      <c r="A26" s="94" t="s">
        <v>130</v>
      </c>
      <c r="B26" s="72"/>
      <c r="C26" s="72"/>
      <c r="D26" s="72"/>
      <c r="E26" s="72"/>
      <c r="F26" s="72"/>
      <c r="G26" s="72"/>
      <c r="H26" s="72"/>
      <c r="I26" s="72"/>
      <c r="J26" s="72"/>
      <c r="K26" s="72"/>
      <c r="L26" s="72"/>
      <c r="M26" s="72"/>
      <c r="N26" s="72"/>
      <c r="O26" s="72"/>
    </row>
    <row r="27" spans="1:15" s="50" customFormat="1" x14ac:dyDescent="0.25">
      <c r="A27" s="117" t="s">
        <v>142</v>
      </c>
    </row>
    <row r="28" spans="1:15" x14ac:dyDescent="0.15">
      <c r="A28" s="95" t="s">
        <v>103</v>
      </c>
      <c r="B28" s="73"/>
      <c r="C28" s="73"/>
      <c r="D28" s="73"/>
      <c r="E28" s="73"/>
      <c r="F28" s="73"/>
      <c r="G28" s="73"/>
      <c r="H28" s="73"/>
      <c r="I28" s="7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DA93-C533-4873-9DDF-211682F3E0D1}">
  <sheetPr>
    <tabColor rgb="FF92D050"/>
  </sheetPr>
  <dimension ref="A1:B22"/>
  <sheetViews>
    <sheetView workbookViewId="0">
      <selection activeCell="D14" sqref="D14"/>
    </sheetView>
  </sheetViews>
  <sheetFormatPr baseColWidth="10" defaultRowHeight="15" x14ac:dyDescent="0.25"/>
  <sheetData>
    <row r="1" spans="1:2" x14ac:dyDescent="0.25">
      <c r="A1" t="s">
        <v>95</v>
      </c>
    </row>
    <row r="2" spans="1:2" x14ac:dyDescent="0.25">
      <c r="A2" s="53" t="s">
        <v>96</v>
      </c>
    </row>
    <row r="3" spans="1:2" x14ac:dyDescent="0.25">
      <c r="A3" s="54"/>
    </row>
    <row r="4" spans="1:2" x14ac:dyDescent="0.25">
      <c r="A4" s="54"/>
    </row>
    <row r="5" spans="1:2" ht="30" x14ac:dyDescent="0.25">
      <c r="A5" s="55" t="s">
        <v>55</v>
      </c>
      <c r="B5" s="56" t="s">
        <v>97</v>
      </c>
    </row>
    <row r="6" spans="1:2" x14ac:dyDescent="0.25">
      <c r="A6" s="57">
        <v>1</v>
      </c>
      <c r="B6" s="58">
        <v>330558</v>
      </c>
    </row>
    <row r="7" spans="1:2" x14ac:dyDescent="0.25">
      <c r="A7" s="57">
        <v>2</v>
      </c>
      <c r="B7" s="58">
        <v>607534</v>
      </c>
    </row>
    <row r="8" spans="1:2" x14ac:dyDescent="0.25">
      <c r="A8" s="57">
        <v>3</v>
      </c>
      <c r="B8" s="58">
        <v>286168</v>
      </c>
    </row>
    <row r="9" spans="1:2" x14ac:dyDescent="0.25">
      <c r="A9" s="57">
        <v>4</v>
      </c>
      <c r="B9" s="58">
        <v>757586</v>
      </c>
    </row>
    <row r="10" spans="1:2" x14ac:dyDescent="0.25">
      <c r="A10" s="57">
        <v>5</v>
      </c>
      <c r="B10" s="58">
        <v>1815902</v>
      </c>
    </row>
    <row r="11" spans="1:2" x14ac:dyDescent="0.25">
      <c r="A11" s="57">
        <v>6</v>
      </c>
      <c r="B11" s="58">
        <v>914555</v>
      </c>
    </row>
    <row r="12" spans="1:2" x14ac:dyDescent="0.25">
      <c r="A12" s="57">
        <v>7</v>
      </c>
      <c r="B12" s="58">
        <v>1044950</v>
      </c>
    </row>
    <row r="13" spans="1:2" x14ac:dyDescent="0.25">
      <c r="A13" s="57">
        <v>8</v>
      </c>
      <c r="B13" s="58">
        <v>1556805</v>
      </c>
    </row>
    <row r="14" spans="1:2" x14ac:dyDescent="0.25">
      <c r="A14" s="57">
        <v>9</v>
      </c>
      <c r="B14" s="58">
        <v>957224</v>
      </c>
    </row>
    <row r="15" spans="1:2" x14ac:dyDescent="0.25">
      <c r="A15" s="57">
        <v>10</v>
      </c>
      <c r="B15" s="58">
        <v>828708</v>
      </c>
    </row>
    <row r="16" spans="1:2" x14ac:dyDescent="0.25">
      <c r="A16" s="57">
        <v>11</v>
      </c>
      <c r="B16" s="58">
        <v>103158</v>
      </c>
    </row>
    <row r="17" spans="1:2" x14ac:dyDescent="0.25">
      <c r="A17" s="57">
        <v>12</v>
      </c>
      <c r="B17" s="58">
        <v>166533</v>
      </c>
    </row>
    <row r="18" spans="1:2" x14ac:dyDescent="0.25">
      <c r="A18" s="57">
        <v>13</v>
      </c>
      <c r="B18" s="58">
        <v>7112808</v>
      </c>
    </row>
    <row r="19" spans="1:2" x14ac:dyDescent="0.25">
      <c r="A19" s="57">
        <v>14</v>
      </c>
      <c r="B19" s="58">
        <v>384837</v>
      </c>
    </row>
    <row r="20" spans="1:2" x14ac:dyDescent="0.25">
      <c r="A20" s="59">
        <v>15</v>
      </c>
      <c r="B20" s="58">
        <v>226068</v>
      </c>
    </row>
    <row r="21" spans="1:2" x14ac:dyDescent="0.25">
      <c r="A21" s="59">
        <v>16</v>
      </c>
      <c r="B21" s="58">
        <v>480609</v>
      </c>
    </row>
    <row r="22" spans="1:2" x14ac:dyDescent="0.25">
      <c r="A22" s="60" t="s">
        <v>98</v>
      </c>
      <c r="B22" s="61">
        <v>17574003</v>
      </c>
    </row>
  </sheetData>
  <hyperlinks>
    <hyperlink ref="A2" r:id="rId1" xr:uid="{336F7B9C-AF35-446D-8579-B5CB66A87B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6941-AB9A-4C5C-BF9D-D734C2B361D1}">
  <sheetPr>
    <tabColor rgb="FF92D050"/>
  </sheetPr>
  <dimension ref="A1:E22"/>
  <sheetViews>
    <sheetView topLeftCell="A13" workbookViewId="0">
      <selection activeCell="D19" sqref="D19"/>
    </sheetView>
  </sheetViews>
  <sheetFormatPr baseColWidth="10" defaultRowHeight="15" x14ac:dyDescent="0.25"/>
  <cols>
    <col min="1" max="1" width="5.85546875" customWidth="1"/>
    <col min="2" max="2" width="26.85546875" bestFit="1" customWidth="1"/>
    <col min="3" max="3" width="13.85546875" bestFit="1" customWidth="1"/>
  </cols>
  <sheetData>
    <row r="1" spans="1:5" x14ac:dyDescent="0.25">
      <c r="B1" s="19" t="s">
        <v>0</v>
      </c>
      <c r="C1" s="19" t="s">
        <v>53</v>
      </c>
    </row>
    <row r="2" spans="1:5" x14ac:dyDescent="0.25">
      <c r="B2" s="11" t="s">
        <v>3</v>
      </c>
      <c r="C2" s="14">
        <f>'ADAIN 2025'!D14</f>
        <v>1650397.2000000002</v>
      </c>
    </row>
    <row r="4" spans="1:5" x14ac:dyDescent="0.25">
      <c r="A4" s="19" t="s">
        <v>35</v>
      </c>
      <c r="B4" s="19" t="s">
        <v>10</v>
      </c>
      <c r="C4" s="19" t="s">
        <v>11</v>
      </c>
      <c r="D4" s="19" t="s">
        <v>2</v>
      </c>
      <c r="E4" s="19" t="s">
        <v>1</v>
      </c>
    </row>
    <row r="5" spans="1:5" x14ac:dyDescent="0.25">
      <c r="A5" s="11">
        <v>1</v>
      </c>
      <c r="B5" s="13" t="s">
        <v>18</v>
      </c>
      <c r="C5" s="13" t="s">
        <v>36</v>
      </c>
      <c r="D5" s="14">
        <f>$C$2/COUNTA($C$5:$C$21)</f>
        <v>97082.188235294132</v>
      </c>
      <c r="E5" s="16">
        <f>D5/$D$22</f>
        <v>5.8823529411764726E-2</v>
      </c>
    </row>
    <row r="6" spans="1:5" x14ac:dyDescent="0.25">
      <c r="A6" s="11">
        <v>2</v>
      </c>
      <c r="B6" s="12" t="s">
        <v>19</v>
      </c>
      <c r="C6" s="13" t="s">
        <v>37</v>
      </c>
      <c r="D6" s="14">
        <f t="shared" ref="D6:D21" si="0">$C$2/COUNTA($C$5:$C$21)</f>
        <v>97082.188235294132</v>
      </c>
      <c r="E6" s="16">
        <f t="shared" ref="E6:E21" si="1">D6/$D$22</f>
        <v>5.8823529411764726E-2</v>
      </c>
    </row>
    <row r="7" spans="1:5" x14ac:dyDescent="0.25">
      <c r="A7" s="11">
        <v>3</v>
      </c>
      <c r="B7" s="12" t="s">
        <v>20</v>
      </c>
      <c r="C7" s="13" t="s">
        <v>38</v>
      </c>
      <c r="D7" s="14">
        <f t="shared" si="0"/>
        <v>97082.188235294132</v>
      </c>
      <c r="E7" s="16">
        <f t="shared" si="1"/>
        <v>5.8823529411764726E-2</v>
      </c>
    </row>
    <row r="8" spans="1:5" x14ac:dyDescent="0.25">
      <c r="A8" s="11">
        <v>4</v>
      </c>
      <c r="B8" s="12" t="s">
        <v>21</v>
      </c>
      <c r="C8" s="13" t="s">
        <v>39</v>
      </c>
      <c r="D8" s="14">
        <f t="shared" si="0"/>
        <v>97082.188235294132</v>
      </c>
      <c r="E8" s="16">
        <f t="shared" si="1"/>
        <v>5.8823529411764726E-2</v>
      </c>
    </row>
    <row r="9" spans="1:5" x14ac:dyDescent="0.25">
      <c r="A9" s="11">
        <v>5</v>
      </c>
      <c r="B9" s="12" t="s">
        <v>22</v>
      </c>
      <c r="C9" s="13" t="s">
        <v>40</v>
      </c>
      <c r="D9" s="14">
        <f t="shared" si="0"/>
        <v>97082.188235294132</v>
      </c>
      <c r="E9" s="16">
        <f t="shared" si="1"/>
        <v>5.8823529411764726E-2</v>
      </c>
    </row>
    <row r="10" spans="1:5" x14ac:dyDescent="0.25">
      <c r="A10" s="11">
        <v>6</v>
      </c>
      <c r="B10" s="12" t="s">
        <v>23</v>
      </c>
      <c r="C10" s="13" t="s">
        <v>41</v>
      </c>
      <c r="D10" s="14">
        <f t="shared" si="0"/>
        <v>97082.188235294132</v>
      </c>
      <c r="E10" s="16">
        <f t="shared" si="1"/>
        <v>5.8823529411764726E-2</v>
      </c>
    </row>
    <row r="11" spans="1:5" x14ac:dyDescent="0.25">
      <c r="A11" s="11">
        <v>7</v>
      </c>
      <c r="B11" s="12" t="s">
        <v>24</v>
      </c>
      <c r="C11" s="13" t="s">
        <v>42</v>
      </c>
      <c r="D11" s="14">
        <f t="shared" si="0"/>
        <v>97082.188235294132</v>
      </c>
      <c r="E11" s="16">
        <f t="shared" si="1"/>
        <v>5.8823529411764726E-2</v>
      </c>
    </row>
    <row r="12" spans="1:5" x14ac:dyDescent="0.25">
      <c r="A12" s="11">
        <v>8</v>
      </c>
      <c r="B12" s="12" t="s">
        <v>25</v>
      </c>
      <c r="C12" s="13" t="s">
        <v>43</v>
      </c>
      <c r="D12" s="14">
        <f t="shared" si="0"/>
        <v>97082.188235294132</v>
      </c>
      <c r="E12" s="16">
        <f t="shared" si="1"/>
        <v>5.8823529411764726E-2</v>
      </c>
    </row>
    <row r="13" spans="1:5" x14ac:dyDescent="0.25">
      <c r="A13" s="11">
        <v>9</v>
      </c>
      <c r="B13" s="12" t="s">
        <v>26</v>
      </c>
      <c r="C13" s="13" t="s">
        <v>44</v>
      </c>
      <c r="D13" s="14">
        <f t="shared" si="0"/>
        <v>97082.188235294132</v>
      </c>
      <c r="E13" s="16">
        <f t="shared" si="1"/>
        <v>5.8823529411764726E-2</v>
      </c>
    </row>
    <row r="14" spans="1:5" x14ac:dyDescent="0.25">
      <c r="A14" s="11">
        <v>10</v>
      </c>
      <c r="B14" s="12" t="s">
        <v>27</v>
      </c>
      <c r="C14" s="13" t="s">
        <v>45</v>
      </c>
      <c r="D14" s="14">
        <f t="shared" si="0"/>
        <v>97082.188235294132</v>
      </c>
      <c r="E14" s="16">
        <f t="shared" si="1"/>
        <v>5.8823529411764726E-2</v>
      </c>
    </row>
    <row r="15" spans="1:5" x14ac:dyDescent="0.25">
      <c r="A15" s="11">
        <v>11</v>
      </c>
      <c r="B15" s="12" t="s">
        <v>28</v>
      </c>
      <c r="C15" s="13" t="s">
        <v>46</v>
      </c>
      <c r="D15" s="14">
        <f t="shared" si="0"/>
        <v>97082.188235294132</v>
      </c>
      <c r="E15" s="16">
        <f t="shared" si="1"/>
        <v>5.8823529411764726E-2</v>
      </c>
    </row>
    <row r="16" spans="1:5" x14ac:dyDescent="0.25">
      <c r="A16" s="11">
        <v>12</v>
      </c>
      <c r="B16" s="12" t="s">
        <v>29</v>
      </c>
      <c r="C16" s="13" t="s">
        <v>47</v>
      </c>
      <c r="D16" s="14">
        <f t="shared" si="0"/>
        <v>97082.188235294132</v>
      </c>
      <c r="E16" s="16">
        <f t="shared" si="1"/>
        <v>5.8823529411764726E-2</v>
      </c>
    </row>
    <row r="17" spans="1:5" x14ac:dyDescent="0.25">
      <c r="A17" s="11">
        <v>13</v>
      </c>
      <c r="B17" s="12" t="s">
        <v>30</v>
      </c>
      <c r="C17" s="13" t="s">
        <v>48</v>
      </c>
      <c r="D17" s="14">
        <f t="shared" si="0"/>
        <v>97082.188235294132</v>
      </c>
      <c r="E17" s="16">
        <f t="shared" si="1"/>
        <v>5.8823529411764726E-2</v>
      </c>
    </row>
    <row r="18" spans="1:5" x14ac:dyDescent="0.25">
      <c r="A18" s="11">
        <v>14</v>
      </c>
      <c r="B18" s="12" t="s">
        <v>31</v>
      </c>
      <c r="C18" s="13" t="s">
        <v>49</v>
      </c>
      <c r="D18" s="14">
        <f t="shared" si="0"/>
        <v>97082.188235294132</v>
      </c>
      <c r="E18" s="16">
        <f t="shared" si="1"/>
        <v>5.8823529411764726E-2</v>
      </c>
    </row>
    <row r="19" spans="1:5" x14ac:dyDescent="0.25">
      <c r="A19" s="11">
        <v>15</v>
      </c>
      <c r="B19" s="12" t="s">
        <v>32</v>
      </c>
      <c r="C19" s="13" t="s">
        <v>50</v>
      </c>
      <c r="D19" s="14">
        <f t="shared" si="0"/>
        <v>97082.188235294132</v>
      </c>
      <c r="E19" s="16">
        <f t="shared" si="1"/>
        <v>5.8823529411764726E-2</v>
      </c>
    </row>
    <row r="20" spans="1:5" x14ac:dyDescent="0.25">
      <c r="A20" s="11">
        <v>16</v>
      </c>
      <c r="B20" s="12" t="s">
        <v>33</v>
      </c>
      <c r="C20" s="13" t="s">
        <v>51</v>
      </c>
      <c r="D20" s="14">
        <f t="shared" si="0"/>
        <v>97082.188235294132</v>
      </c>
      <c r="E20" s="16">
        <f t="shared" si="1"/>
        <v>5.8823529411764726E-2</v>
      </c>
    </row>
    <row r="21" spans="1:5" x14ac:dyDescent="0.25">
      <c r="A21" s="11">
        <v>17</v>
      </c>
      <c r="B21" s="12" t="s">
        <v>34</v>
      </c>
      <c r="C21" s="13" t="s">
        <v>52</v>
      </c>
      <c r="D21" s="14">
        <f t="shared" si="0"/>
        <v>97082.188235294132</v>
      </c>
      <c r="E21" s="16">
        <f t="shared" si="1"/>
        <v>5.8823529411764726E-2</v>
      </c>
    </row>
    <row r="22" spans="1:5" x14ac:dyDescent="0.25">
      <c r="D22" s="15">
        <f>SUM(D5:D21)</f>
        <v>1650397.1999999997</v>
      </c>
      <c r="E22" s="16">
        <f>SUM(E5:E21)</f>
        <v>1.0000000000000004</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F2C5-E0B9-4671-9C7F-EF49A4356847}">
  <sheetPr>
    <tabColor rgb="FF92D050"/>
  </sheetPr>
  <dimension ref="A1:F22"/>
  <sheetViews>
    <sheetView workbookViewId="0">
      <selection activeCell="D9" sqref="D9"/>
    </sheetView>
  </sheetViews>
  <sheetFormatPr baseColWidth="10" defaultRowHeight="15" x14ac:dyDescent="0.25"/>
  <cols>
    <col min="1" max="1" width="4.28515625" customWidth="1"/>
    <col min="2" max="2" width="26.85546875" bestFit="1" customWidth="1"/>
    <col min="3" max="3" width="13.85546875" bestFit="1" customWidth="1"/>
  </cols>
  <sheetData>
    <row r="1" spans="1:6" x14ac:dyDescent="0.25">
      <c r="B1" s="19" t="s">
        <v>0</v>
      </c>
      <c r="C1" s="19" t="s">
        <v>53</v>
      </c>
    </row>
    <row r="2" spans="1:6" x14ac:dyDescent="0.25">
      <c r="B2" s="11" t="s">
        <v>54</v>
      </c>
      <c r="C2" s="14">
        <f>'ADAIN 2025'!D15</f>
        <v>618898.94999999995</v>
      </c>
    </row>
    <row r="4" spans="1:6" ht="38.25" x14ac:dyDescent="0.25">
      <c r="A4" s="19" t="s">
        <v>35</v>
      </c>
      <c r="B4" s="19" t="s">
        <v>10</v>
      </c>
      <c r="C4" s="19" t="s">
        <v>11</v>
      </c>
      <c r="D4" s="20" t="s">
        <v>108</v>
      </c>
      <c r="E4" s="19" t="s">
        <v>1</v>
      </c>
      <c r="F4" s="19" t="s">
        <v>2</v>
      </c>
    </row>
    <row r="5" spans="1:6" x14ac:dyDescent="0.25">
      <c r="A5" s="11">
        <v>1</v>
      </c>
      <c r="B5" s="13" t="s">
        <v>18</v>
      </c>
      <c r="C5" s="17" t="s">
        <v>36</v>
      </c>
      <c r="D5" s="18">
        <v>11055</v>
      </c>
      <c r="E5" s="16">
        <f>D5/$D$22</f>
        <v>7.1894957272739091E-2</v>
      </c>
      <c r="F5" s="14">
        <f>$C$2*E5</f>
        <v>44495.713566393082</v>
      </c>
    </row>
    <row r="6" spans="1:6" x14ac:dyDescent="0.25">
      <c r="A6" s="11">
        <v>2</v>
      </c>
      <c r="B6" s="12" t="s">
        <v>19</v>
      </c>
      <c r="C6" s="17" t="s">
        <v>37</v>
      </c>
      <c r="D6" s="18">
        <v>9514</v>
      </c>
      <c r="E6" s="16">
        <f t="shared" ref="E6:E21" si="0">D6/$D$22</f>
        <v>6.187323595593304E-2</v>
      </c>
      <c r="F6" s="14">
        <f t="shared" ref="F6:F21" si="1">$C$2*E6</f>
        <v>38293.280766229203</v>
      </c>
    </row>
    <row r="7" spans="1:6" x14ac:dyDescent="0.25">
      <c r="A7" s="11">
        <v>3</v>
      </c>
      <c r="B7" s="12" t="s">
        <v>20</v>
      </c>
      <c r="C7" s="17" t="s">
        <v>38</v>
      </c>
      <c r="D7" s="18">
        <v>11257</v>
      </c>
      <c r="E7" s="16">
        <f t="shared" si="0"/>
        <v>7.320864170232691E-2</v>
      </c>
      <c r="F7" s="14">
        <f t="shared" si="1"/>
        <v>45308.751480496336</v>
      </c>
    </row>
    <row r="8" spans="1:6" x14ac:dyDescent="0.25">
      <c r="A8" s="11">
        <v>4</v>
      </c>
      <c r="B8" s="12" t="s">
        <v>21</v>
      </c>
      <c r="C8" s="17" t="s">
        <v>39</v>
      </c>
      <c r="D8" s="18">
        <v>10998</v>
      </c>
      <c r="E8" s="16">
        <f t="shared" si="0"/>
        <v>7.1524264141617777E-2</v>
      </c>
      <c r="F8" s="14">
        <f t="shared" si="1"/>
        <v>44266.291976769891</v>
      </c>
    </row>
    <row r="9" spans="1:6" x14ac:dyDescent="0.25">
      <c r="A9" s="11">
        <v>5</v>
      </c>
      <c r="B9" s="12" t="s">
        <v>22</v>
      </c>
      <c r="C9" s="17" t="s">
        <v>40</v>
      </c>
      <c r="D9" s="18">
        <v>22515</v>
      </c>
      <c r="E9" s="16">
        <f t="shared" si="0"/>
        <v>0.14642378679291912</v>
      </c>
      <c r="F9" s="14">
        <f t="shared" si="1"/>
        <v>90621.527901161506</v>
      </c>
    </row>
    <row r="10" spans="1:6" x14ac:dyDescent="0.25">
      <c r="A10" s="11">
        <v>6</v>
      </c>
      <c r="B10" s="12" t="s">
        <v>23</v>
      </c>
      <c r="C10" s="17" t="s">
        <v>41</v>
      </c>
      <c r="D10" s="18">
        <v>7043</v>
      </c>
      <c r="E10" s="16">
        <f t="shared" si="0"/>
        <v>4.5803363552410804E-2</v>
      </c>
      <c r="F10" s="14">
        <f t="shared" si="1"/>
        <v>28347.653609055316</v>
      </c>
    </row>
    <row r="11" spans="1:6" x14ac:dyDescent="0.25">
      <c r="A11" s="11">
        <v>7</v>
      </c>
      <c r="B11" s="12" t="s">
        <v>24</v>
      </c>
      <c r="C11" s="17" t="s">
        <v>42</v>
      </c>
      <c r="D11" s="18">
        <v>7465</v>
      </c>
      <c r="E11" s="16">
        <f t="shared" si="0"/>
        <v>4.854779340036159E-2</v>
      </c>
      <c r="F11" s="14">
        <f t="shared" si="1"/>
        <v>30046.178360300717</v>
      </c>
    </row>
    <row r="12" spans="1:6" x14ac:dyDescent="0.25">
      <c r="A12" s="11">
        <v>8</v>
      </c>
      <c r="B12" s="12" t="s">
        <v>25</v>
      </c>
      <c r="C12" s="17" t="s">
        <v>43</v>
      </c>
      <c r="D12" s="18">
        <v>14791</v>
      </c>
      <c r="E12" s="16">
        <f t="shared" si="0"/>
        <v>9.619161583184839E-2</v>
      </c>
      <c r="F12" s="14">
        <f t="shared" si="1"/>
        <v>59532.890037134341</v>
      </c>
    </row>
    <row r="13" spans="1:6" x14ac:dyDescent="0.25">
      <c r="A13" s="11">
        <v>9</v>
      </c>
      <c r="B13" s="12" t="s">
        <v>26</v>
      </c>
      <c r="C13" s="17" t="s">
        <v>44</v>
      </c>
      <c r="D13" s="18">
        <v>7471</v>
      </c>
      <c r="E13" s="16">
        <f t="shared" si="0"/>
        <v>4.8586813729953306E-2</v>
      </c>
      <c r="F13" s="14">
        <f t="shared" si="1"/>
        <v>30070.328001313683</v>
      </c>
    </row>
    <row r="14" spans="1:6" x14ac:dyDescent="0.25">
      <c r="A14" s="11">
        <v>10</v>
      </c>
      <c r="B14" s="12" t="s">
        <v>27</v>
      </c>
      <c r="C14" s="17" t="s">
        <v>45</v>
      </c>
      <c r="D14" s="18">
        <v>10373</v>
      </c>
      <c r="E14" s="16">
        <f t="shared" si="0"/>
        <v>6.74596464758139E-2</v>
      </c>
      <c r="F14" s="14">
        <f t="shared" si="1"/>
        <v>41750.704371252417</v>
      </c>
    </row>
    <row r="15" spans="1:6" x14ac:dyDescent="0.25">
      <c r="A15" s="11">
        <v>11</v>
      </c>
      <c r="B15" s="12" t="s">
        <v>28</v>
      </c>
      <c r="C15" s="17" t="s">
        <v>46</v>
      </c>
      <c r="D15" s="18">
        <v>7847</v>
      </c>
      <c r="E15" s="16">
        <f t="shared" si="0"/>
        <v>5.1032087717700923E-2</v>
      </c>
      <c r="F15" s="14">
        <f t="shared" si="1"/>
        <v>31583.705504792997</v>
      </c>
    </row>
    <row r="16" spans="1:6" x14ac:dyDescent="0.25">
      <c r="A16" s="11">
        <v>12</v>
      </c>
      <c r="B16" s="12" t="s">
        <v>29</v>
      </c>
      <c r="C16" s="17" t="s">
        <v>47</v>
      </c>
      <c r="D16" s="18">
        <v>10306</v>
      </c>
      <c r="E16" s="16">
        <f t="shared" si="0"/>
        <v>6.7023919462039727E-2</v>
      </c>
      <c r="F16" s="14">
        <f t="shared" si="1"/>
        <v>41481.033379940949</v>
      </c>
    </row>
    <row r="17" spans="1:6" x14ac:dyDescent="0.25">
      <c r="A17" s="11">
        <v>13</v>
      </c>
      <c r="B17" s="12" t="s">
        <v>30</v>
      </c>
      <c r="C17" s="17" t="s">
        <v>48</v>
      </c>
      <c r="D17" s="18">
        <v>6568</v>
      </c>
      <c r="E17" s="16">
        <f t="shared" si="0"/>
        <v>4.2714254126399856E-2</v>
      </c>
      <c r="F17" s="14">
        <f t="shared" si="1"/>
        <v>26435.807028862037</v>
      </c>
    </row>
    <row r="18" spans="1:6" x14ac:dyDescent="0.25">
      <c r="A18" s="11">
        <v>14</v>
      </c>
      <c r="B18" s="12" t="s">
        <v>31</v>
      </c>
      <c r="C18" s="17" t="s">
        <v>49</v>
      </c>
      <c r="D18" s="18">
        <v>4103</v>
      </c>
      <c r="E18" s="16">
        <f t="shared" si="0"/>
        <v>2.6683402052469336E-2</v>
      </c>
      <c r="F18" s="14">
        <f t="shared" si="1"/>
        <v>16514.329512701115</v>
      </c>
    </row>
    <row r="19" spans="1:6" x14ac:dyDescent="0.25">
      <c r="A19" s="11">
        <v>15</v>
      </c>
      <c r="B19" s="12" t="s">
        <v>32</v>
      </c>
      <c r="C19" s="17" t="s">
        <v>50</v>
      </c>
      <c r="D19" s="18">
        <v>7935</v>
      </c>
      <c r="E19" s="16">
        <f t="shared" si="0"/>
        <v>5.1604385885046108E-2</v>
      </c>
      <c r="F19" s="14">
        <f t="shared" si="1"/>
        <v>31937.900239649854</v>
      </c>
    </row>
    <row r="20" spans="1:6" x14ac:dyDescent="0.25">
      <c r="A20" s="11">
        <v>16</v>
      </c>
      <c r="B20" s="12" t="s">
        <v>33</v>
      </c>
      <c r="C20" s="17" t="s">
        <v>51</v>
      </c>
      <c r="D20" s="18">
        <v>3863</v>
      </c>
      <c r="E20" s="16">
        <f t="shared" si="0"/>
        <v>2.5122588868800644E-2</v>
      </c>
      <c r="F20" s="14">
        <f t="shared" si="1"/>
        <v>15548.343872182406</v>
      </c>
    </row>
    <row r="21" spans="1:6" x14ac:dyDescent="0.25">
      <c r="A21" s="11">
        <v>17</v>
      </c>
      <c r="B21" s="12" t="s">
        <v>34</v>
      </c>
      <c r="C21" s="17" t="s">
        <v>52</v>
      </c>
      <c r="D21" s="18">
        <v>662</v>
      </c>
      <c r="E21" s="16">
        <f t="shared" si="0"/>
        <v>4.3052430316194738E-3</v>
      </c>
      <c r="F21" s="14">
        <f t="shared" si="1"/>
        <v>2664.510391764109</v>
      </c>
    </row>
    <row r="22" spans="1:6" x14ac:dyDescent="0.25">
      <c r="D22" s="18">
        <f>SUM(D5:D21)</f>
        <v>153766</v>
      </c>
      <c r="E22" s="16">
        <f>SUM(E5:E21)</f>
        <v>1.0000000000000002</v>
      </c>
      <c r="F22" s="15">
        <f>SUM(F5:F21)</f>
        <v>618898.94999999995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F43-4C03-41DC-87A1-DBA045646EBA}">
  <sheetPr>
    <tabColor rgb="FF92D050"/>
  </sheetPr>
  <dimension ref="A1:F22"/>
  <sheetViews>
    <sheetView workbookViewId="0">
      <selection activeCell="E9" sqref="E9"/>
    </sheetView>
  </sheetViews>
  <sheetFormatPr baseColWidth="10" defaultRowHeight="15" x14ac:dyDescent="0.25"/>
  <cols>
    <col min="1" max="1" width="5.28515625" customWidth="1"/>
    <col min="2" max="2" width="26.85546875" bestFit="1" customWidth="1"/>
    <col min="3" max="3" width="13.85546875" bestFit="1" customWidth="1"/>
  </cols>
  <sheetData>
    <row r="1" spans="1:6" x14ac:dyDescent="0.25">
      <c r="B1" s="19" t="s">
        <v>0</v>
      </c>
      <c r="C1" s="19" t="s">
        <v>53</v>
      </c>
    </row>
    <row r="2" spans="1:6" x14ac:dyDescent="0.25">
      <c r="B2" s="2" t="s">
        <v>5</v>
      </c>
      <c r="C2" s="14">
        <f>'ADAIN 2025'!D16</f>
        <v>412599.30000000005</v>
      </c>
    </row>
    <row r="4" spans="1:6" ht="51" x14ac:dyDescent="0.25">
      <c r="A4" s="19" t="s">
        <v>35</v>
      </c>
      <c r="B4" s="19" t="s">
        <v>10</v>
      </c>
      <c r="C4" s="19" t="s">
        <v>11</v>
      </c>
      <c r="D4" s="20" t="s">
        <v>109</v>
      </c>
      <c r="E4" s="19" t="s">
        <v>1</v>
      </c>
      <c r="F4" s="19" t="s">
        <v>2</v>
      </c>
    </row>
    <row r="5" spans="1:6" x14ac:dyDescent="0.25">
      <c r="A5" s="11">
        <v>1</v>
      </c>
      <c r="B5" s="13" t="s">
        <v>18</v>
      </c>
      <c r="C5" s="17" t="s">
        <v>36</v>
      </c>
      <c r="D5" s="18">
        <v>858</v>
      </c>
      <c r="E5" s="16">
        <f>D5/$D$22</f>
        <v>0.14405641370047012</v>
      </c>
      <c r="F5" s="14">
        <f>$C$2*E5</f>
        <v>59437.575453324389</v>
      </c>
    </row>
    <row r="6" spans="1:6" x14ac:dyDescent="0.25">
      <c r="A6" s="11">
        <v>2</v>
      </c>
      <c r="B6" s="12" t="s">
        <v>19</v>
      </c>
      <c r="C6" s="17" t="s">
        <v>37</v>
      </c>
      <c r="D6" s="18">
        <v>34</v>
      </c>
      <c r="E6" s="16">
        <f t="shared" ref="E6:E21" si="0">D6/$D$22</f>
        <v>5.7085292142377434E-3</v>
      </c>
      <c r="F6" s="14">
        <f t="shared" ref="F6:F21" si="1">$C$2*E6</f>
        <v>2355.3351578240431</v>
      </c>
    </row>
    <row r="7" spans="1:6" x14ac:dyDescent="0.25">
      <c r="A7" s="11">
        <v>3</v>
      </c>
      <c r="B7" s="12" t="s">
        <v>20</v>
      </c>
      <c r="C7" s="17" t="s">
        <v>38</v>
      </c>
      <c r="D7" s="18">
        <v>810</v>
      </c>
      <c r="E7" s="16">
        <f t="shared" si="0"/>
        <v>0.13599731363331094</v>
      </c>
      <c r="F7" s="14">
        <f t="shared" si="1"/>
        <v>56112.396406984553</v>
      </c>
    </row>
    <row r="8" spans="1:6" x14ac:dyDescent="0.25">
      <c r="A8" s="11">
        <v>4</v>
      </c>
      <c r="B8" s="12" t="s">
        <v>21</v>
      </c>
      <c r="C8" s="17" t="s">
        <v>39</v>
      </c>
      <c r="D8" s="18">
        <v>380</v>
      </c>
      <c r="E8" s="16">
        <f t="shared" si="0"/>
        <v>6.3801208865010076E-2</v>
      </c>
      <c r="F8" s="14">
        <f t="shared" si="1"/>
        <v>26324.334116856953</v>
      </c>
    </row>
    <row r="9" spans="1:6" x14ac:dyDescent="0.25">
      <c r="A9" s="11">
        <v>5</v>
      </c>
      <c r="B9" s="12" t="s">
        <v>22</v>
      </c>
      <c r="C9" s="17" t="s">
        <v>40</v>
      </c>
      <c r="D9" s="18">
        <v>1249</v>
      </c>
      <c r="E9" s="16">
        <f t="shared" si="0"/>
        <v>0.20970449966420415</v>
      </c>
      <c r="F9" s="14">
        <f t="shared" si="1"/>
        <v>86523.929768300877</v>
      </c>
    </row>
    <row r="10" spans="1:6" x14ac:dyDescent="0.25">
      <c r="A10" s="11">
        <v>6</v>
      </c>
      <c r="B10" s="12" t="s">
        <v>23</v>
      </c>
      <c r="C10" s="17" t="s">
        <v>41</v>
      </c>
      <c r="D10" s="18">
        <v>80</v>
      </c>
      <c r="E10" s="16">
        <f t="shared" si="0"/>
        <v>1.3431833445265278E-2</v>
      </c>
      <c r="F10" s="14">
        <f t="shared" si="1"/>
        <v>5541.9650772330424</v>
      </c>
    </row>
    <row r="11" spans="1:6" x14ac:dyDescent="0.25">
      <c r="A11" s="11">
        <v>7</v>
      </c>
      <c r="B11" s="12" t="s">
        <v>24</v>
      </c>
      <c r="C11" s="17" t="s">
        <v>42</v>
      </c>
      <c r="D11" s="18">
        <v>168</v>
      </c>
      <c r="E11" s="16">
        <f t="shared" si="0"/>
        <v>2.8206850235057087E-2</v>
      </c>
      <c r="F11" s="14">
        <f t="shared" si="1"/>
        <v>11638.12666218939</v>
      </c>
    </row>
    <row r="12" spans="1:6" x14ac:dyDescent="0.25">
      <c r="A12" s="11">
        <v>8</v>
      </c>
      <c r="B12" s="12" t="s">
        <v>25</v>
      </c>
      <c r="C12" s="17" t="s">
        <v>43</v>
      </c>
      <c r="D12" s="18">
        <v>1086</v>
      </c>
      <c r="E12" s="16">
        <f t="shared" si="0"/>
        <v>0.18233713901947615</v>
      </c>
      <c r="F12" s="14">
        <f t="shared" si="1"/>
        <v>75232.175923438554</v>
      </c>
    </row>
    <row r="13" spans="1:6" x14ac:dyDescent="0.25">
      <c r="A13" s="11">
        <v>9</v>
      </c>
      <c r="B13" s="12" t="s">
        <v>26</v>
      </c>
      <c r="C13" s="17" t="s">
        <v>44</v>
      </c>
      <c r="D13" s="18">
        <v>65</v>
      </c>
      <c r="E13" s="16">
        <f t="shared" si="0"/>
        <v>1.091336467427804E-2</v>
      </c>
      <c r="F13" s="14">
        <f t="shared" si="1"/>
        <v>4502.8466252518474</v>
      </c>
    </row>
    <row r="14" spans="1:6" x14ac:dyDescent="0.25">
      <c r="A14" s="11">
        <v>10</v>
      </c>
      <c r="B14" s="12" t="s">
        <v>27</v>
      </c>
      <c r="C14" s="17" t="s">
        <v>45</v>
      </c>
      <c r="D14" s="18">
        <v>82</v>
      </c>
      <c r="E14" s="16">
        <f t="shared" si="0"/>
        <v>1.3767629281396911E-2</v>
      </c>
      <c r="F14" s="14">
        <f t="shared" si="1"/>
        <v>5680.5142041638692</v>
      </c>
    </row>
    <row r="15" spans="1:6" x14ac:dyDescent="0.25">
      <c r="A15" s="11">
        <v>11</v>
      </c>
      <c r="B15" s="12" t="s">
        <v>28</v>
      </c>
      <c r="C15" s="17" t="s">
        <v>46</v>
      </c>
      <c r="D15" s="18">
        <v>47</v>
      </c>
      <c r="E15" s="16">
        <f t="shared" si="0"/>
        <v>7.8912021490933505E-3</v>
      </c>
      <c r="F15" s="14">
        <f t="shared" si="1"/>
        <v>3255.9044828744122</v>
      </c>
    </row>
    <row r="16" spans="1:6" x14ac:dyDescent="0.25">
      <c r="A16" s="11">
        <v>12</v>
      </c>
      <c r="B16" s="12" t="s">
        <v>29</v>
      </c>
      <c r="C16" s="17" t="s">
        <v>47</v>
      </c>
      <c r="D16" s="18">
        <v>299</v>
      </c>
      <c r="E16" s="16">
        <f t="shared" si="0"/>
        <v>5.0201477501678977E-2</v>
      </c>
      <c r="F16" s="14">
        <f t="shared" si="1"/>
        <v>20713.094476158498</v>
      </c>
    </row>
    <row r="17" spans="1:6" x14ac:dyDescent="0.25">
      <c r="A17" s="11">
        <v>13</v>
      </c>
      <c r="B17" s="12" t="s">
        <v>30</v>
      </c>
      <c r="C17" s="17" t="s">
        <v>48</v>
      </c>
      <c r="D17" s="18">
        <v>316</v>
      </c>
      <c r="E17" s="16">
        <f t="shared" si="0"/>
        <v>5.3055742108797849E-2</v>
      </c>
      <c r="F17" s="14">
        <f t="shared" si="1"/>
        <v>21890.762055070518</v>
      </c>
    </row>
    <row r="18" spans="1:6" x14ac:dyDescent="0.25">
      <c r="A18" s="11">
        <v>14</v>
      </c>
      <c r="B18" s="12" t="s">
        <v>31</v>
      </c>
      <c r="C18" s="17" t="s">
        <v>49</v>
      </c>
      <c r="D18" s="18">
        <v>110</v>
      </c>
      <c r="E18" s="16">
        <f t="shared" si="0"/>
        <v>1.8468770987239758E-2</v>
      </c>
      <c r="F18" s="14">
        <f t="shared" si="1"/>
        <v>7620.2019811954342</v>
      </c>
    </row>
    <row r="19" spans="1:6" x14ac:dyDescent="0.25">
      <c r="A19" s="11">
        <v>15</v>
      </c>
      <c r="B19" s="12" t="s">
        <v>32</v>
      </c>
      <c r="C19" s="17" t="s">
        <v>50</v>
      </c>
      <c r="D19" s="18">
        <v>198</v>
      </c>
      <c r="E19" s="16">
        <f t="shared" si="0"/>
        <v>3.3243787777031568E-2</v>
      </c>
      <c r="F19" s="14">
        <f t="shared" si="1"/>
        <v>13716.363566151782</v>
      </c>
    </row>
    <row r="20" spans="1:6" x14ac:dyDescent="0.25">
      <c r="A20" s="11">
        <v>16</v>
      </c>
      <c r="B20" s="12" t="s">
        <v>33</v>
      </c>
      <c r="C20" s="17" t="s">
        <v>51</v>
      </c>
      <c r="D20" s="18">
        <v>174</v>
      </c>
      <c r="E20" s="16">
        <f t="shared" si="0"/>
        <v>2.9214237743451981E-2</v>
      </c>
      <c r="F20" s="14">
        <f t="shared" si="1"/>
        <v>12053.774042981868</v>
      </c>
    </row>
    <row r="21" spans="1:6" x14ac:dyDescent="0.25">
      <c r="A21" s="11">
        <v>17</v>
      </c>
      <c r="B21" s="12" t="s">
        <v>34</v>
      </c>
      <c r="C21" s="17" t="s">
        <v>52</v>
      </c>
      <c r="D21" s="18">
        <v>0</v>
      </c>
      <c r="E21" s="16">
        <f t="shared" si="0"/>
        <v>0</v>
      </c>
      <c r="F21" s="14">
        <f t="shared" si="1"/>
        <v>0</v>
      </c>
    </row>
    <row r="22" spans="1:6" x14ac:dyDescent="0.25">
      <c r="D22" s="18">
        <f>SUM(D5:D21)</f>
        <v>5956</v>
      </c>
      <c r="E22" s="16">
        <f>SUM(E5:E21)</f>
        <v>1</v>
      </c>
      <c r="F22" s="15">
        <f>SUM(F5:F21)</f>
        <v>412599.3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E8C4-E030-48B5-944D-1003FFA0668D}">
  <sheetPr>
    <tabColor rgb="FF92D050"/>
  </sheetPr>
  <dimension ref="A1:F22"/>
  <sheetViews>
    <sheetView workbookViewId="0">
      <selection activeCell="D11" sqref="D11"/>
    </sheetView>
  </sheetViews>
  <sheetFormatPr baseColWidth="10" defaultRowHeight="15" x14ac:dyDescent="0.25"/>
  <cols>
    <col min="1" max="1" width="4.28515625" customWidth="1"/>
    <col min="2" max="2" width="26.85546875" bestFit="1" customWidth="1"/>
    <col min="3" max="3" width="13.85546875" bestFit="1" customWidth="1"/>
    <col min="4" max="4" width="12" customWidth="1"/>
  </cols>
  <sheetData>
    <row r="1" spans="1:6" x14ac:dyDescent="0.25">
      <c r="B1" s="19" t="s">
        <v>0</v>
      </c>
      <c r="C1" s="19" t="s">
        <v>53</v>
      </c>
    </row>
    <row r="2" spans="1:6" x14ac:dyDescent="0.25">
      <c r="B2" s="2" t="s">
        <v>6</v>
      </c>
      <c r="C2" s="14">
        <f>'ADAIN 2025'!D17</f>
        <v>103149.82500000001</v>
      </c>
    </row>
    <row r="4" spans="1:6" ht="38.25" x14ac:dyDescent="0.25">
      <c r="A4" s="19" t="s">
        <v>35</v>
      </c>
      <c r="B4" s="19" t="s">
        <v>10</v>
      </c>
      <c r="C4" s="19" t="s">
        <v>11</v>
      </c>
      <c r="D4" s="20" t="s">
        <v>110</v>
      </c>
      <c r="E4" s="19" t="s">
        <v>1</v>
      </c>
      <c r="F4" s="19" t="s">
        <v>2</v>
      </c>
    </row>
    <row r="5" spans="1:6" x14ac:dyDescent="0.25">
      <c r="A5" s="11">
        <v>1</v>
      </c>
      <c r="B5" s="13" t="s">
        <v>18</v>
      </c>
      <c r="C5" s="17" t="s">
        <v>36</v>
      </c>
      <c r="D5" s="18">
        <v>6</v>
      </c>
      <c r="E5" s="16">
        <f>D5/$D$22</f>
        <v>7.0588235294117646E-2</v>
      </c>
      <c r="F5" s="14">
        <f>$C$2*E5</f>
        <v>7281.1641176470594</v>
      </c>
    </row>
    <row r="6" spans="1:6" x14ac:dyDescent="0.25">
      <c r="A6" s="11">
        <v>2</v>
      </c>
      <c r="B6" s="12" t="s">
        <v>19</v>
      </c>
      <c r="C6" s="17" t="s">
        <v>37</v>
      </c>
      <c r="D6" s="18">
        <v>5</v>
      </c>
      <c r="E6" s="16">
        <f t="shared" ref="E6:E21" si="0">D6/$D$22</f>
        <v>5.8823529411764705E-2</v>
      </c>
      <c r="F6" s="14">
        <f t="shared" ref="F6:F21" si="1">$C$2*E6</f>
        <v>6067.6367647058833</v>
      </c>
    </row>
    <row r="7" spans="1:6" x14ac:dyDescent="0.25">
      <c r="A7" s="11">
        <v>3</v>
      </c>
      <c r="B7" s="12" t="s">
        <v>20</v>
      </c>
      <c r="C7" s="17" t="s">
        <v>38</v>
      </c>
      <c r="D7" s="18">
        <v>6</v>
      </c>
      <c r="E7" s="16">
        <f t="shared" si="0"/>
        <v>7.0588235294117646E-2</v>
      </c>
      <c r="F7" s="14">
        <f t="shared" si="1"/>
        <v>7281.1641176470594</v>
      </c>
    </row>
    <row r="8" spans="1:6" x14ac:dyDescent="0.25">
      <c r="A8" s="11">
        <v>4</v>
      </c>
      <c r="B8" s="12" t="s">
        <v>21</v>
      </c>
      <c r="C8" s="17" t="s">
        <v>39</v>
      </c>
      <c r="D8" s="18">
        <v>5</v>
      </c>
      <c r="E8" s="16">
        <f t="shared" si="0"/>
        <v>5.8823529411764705E-2</v>
      </c>
      <c r="F8" s="14">
        <f t="shared" si="1"/>
        <v>6067.6367647058833</v>
      </c>
    </row>
    <row r="9" spans="1:6" x14ac:dyDescent="0.25">
      <c r="A9" s="11">
        <v>5</v>
      </c>
      <c r="B9" s="12" t="s">
        <v>22</v>
      </c>
      <c r="C9" s="17" t="s">
        <v>40</v>
      </c>
      <c r="D9" s="18">
        <v>7</v>
      </c>
      <c r="E9" s="16">
        <f t="shared" si="0"/>
        <v>8.2352941176470587E-2</v>
      </c>
      <c r="F9" s="14">
        <f t="shared" si="1"/>
        <v>8494.6914705882355</v>
      </c>
    </row>
    <row r="10" spans="1:6" x14ac:dyDescent="0.25">
      <c r="A10" s="11">
        <v>6</v>
      </c>
      <c r="B10" s="12" t="s">
        <v>23</v>
      </c>
      <c r="C10" s="17" t="s">
        <v>41</v>
      </c>
      <c r="D10" s="18">
        <v>5</v>
      </c>
      <c r="E10" s="16">
        <f t="shared" si="0"/>
        <v>5.8823529411764705E-2</v>
      </c>
      <c r="F10" s="14">
        <f t="shared" si="1"/>
        <v>6067.6367647058833</v>
      </c>
    </row>
    <row r="11" spans="1:6" x14ac:dyDescent="0.25">
      <c r="A11" s="11">
        <v>7</v>
      </c>
      <c r="B11" s="12" t="s">
        <v>24</v>
      </c>
      <c r="C11" s="17" t="s">
        <v>42</v>
      </c>
      <c r="D11" s="18">
        <v>5</v>
      </c>
      <c r="E11" s="16">
        <f t="shared" si="0"/>
        <v>5.8823529411764705E-2</v>
      </c>
      <c r="F11" s="14">
        <f t="shared" si="1"/>
        <v>6067.6367647058833</v>
      </c>
    </row>
    <row r="12" spans="1:6" x14ac:dyDescent="0.25">
      <c r="A12" s="11">
        <v>8</v>
      </c>
      <c r="B12" s="12" t="s">
        <v>25</v>
      </c>
      <c r="C12" s="17" t="s">
        <v>43</v>
      </c>
      <c r="D12" s="18">
        <v>6</v>
      </c>
      <c r="E12" s="16">
        <f t="shared" si="0"/>
        <v>7.0588235294117646E-2</v>
      </c>
      <c r="F12" s="14">
        <f t="shared" si="1"/>
        <v>7281.1641176470594</v>
      </c>
    </row>
    <row r="13" spans="1:6" x14ac:dyDescent="0.25">
      <c r="A13" s="11">
        <v>9</v>
      </c>
      <c r="B13" s="12" t="s">
        <v>26</v>
      </c>
      <c r="C13" s="17" t="s">
        <v>44</v>
      </c>
      <c r="D13" s="18">
        <v>4</v>
      </c>
      <c r="E13" s="16">
        <f t="shared" si="0"/>
        <v>4.7058823529411764E-2</v>
      </c>
      <c r="F13" s="14">
        <f t="shared" si="1"/>
        <v>4854.1094117647062</v>
      </c>
    </row>
    <row r="14" spans="1:6" x14ac:dyDescent="0.25">
      <c r="A14" s="11">
        <v>10</v>
      </c>
      <c r="B14" s="12" t="s">
        <v>27</v>
      </c>
      <c r="C14" s="17" t="s">
        <v>45</v>
      </c>
      <c r="D14" s="18">
        <v>5</v>
      </c>
      <c r="E14" s="16">
        <f t="shared" si="0"/>
        <v>5.8823529411764705E-2</v>
      </c>
      <c r="F14" s="14">
        <f t="shared" si="1"/>
        <v>6067.6367647058833</v>
      </c>
    </row>
    <row r="15" spans="1:6" x14ac:dyDescent="0.25">
      <c r="A15" s="11">
        <v>11</v>
      </c>
      <c r="B15" s="12" t="s">
        <v>28</v>
      </c>
      <c r="C15" s="17" t="s">
        <v>46</v>
      </c>
      <c r="D15" s="18">
        <v>4</v>
      </c>
      <c r="E15" s="16">
        <f t="shared" si="0"/>
        <v>4.7058823529411764E-2</v>
      </c>
      <c r="F15" s="14">
        <f t="shared" si="1"/>
        <v>4854.1094117647062</v>
      </c>
    </row>
    <row r="16" spans="1:6" x14ac:dyDescent="0.25">
      <c r="A16" s="11">
        <v>12</v>
      </c>
      <c r="B16" s="12" t="s">
        <v>29</v>
      </c>
      <c r="C16" s="17" t="s">
        <v>47</v>
      </c>
      <c r="D16" s="18">
        <v>6</v>
      </c>
      <c r="E16" s="16">
        <f t="shared" si="0"/>
        <v>7.0588235294117646E-2</v>
      </c>
      <c r="F16" s="14">
        <f t="shared" si="1"/>
        <v>7281.1641176470594</v>
      </c>
    </row>
    <row r="17" spans="1:6" x14ac:dyDescent="0.25">
      <c r="A17" s="11">
        <v>13</v>
      </c>
      <c r="B17" s="12" t="s">
        <v>30</v>
      </c>
      <c r="C17" s="17" t="s">
        <v>48</v>
      </c>
      <c r="D17" s="18">
        <v>5</v>
      </c>
      <c r="E17" s="16">
        <f t="shared" si="0"/>
        <v>5.8823529411764705E-2</v>
      </c>
      <c r="F17" s="14">
        <f t="shared" si="1"/>
        <v>6067.6367647058833</v>
      </c>
    </row>
    <row r="18" spans="1:6" x14ac:dyDescent="0.25">
      <c r="A18" s="11">
        <v>14</v>
      </c>
      <c r="B18" s="12" t="s">
        <v>31</v>
      </c>
      <c r="C18" s="17" t="s">
        <v>49</v>
      </c>
      <c r="D18" s="18">
        <v>5</v>
      </c>
      <c r="E18" s="16">
        <f t="shared" si="0"/>
        <v>5.8823529411764705E-2</v>
      </c>
      <c r="F18" s="14">
        <f t="shared" si="1"/>
        <v>6067.6367647058833</v>
      </c>
    </row>
    <row r="19" spans="1:6" x14ac:dyDescent="0.25">
      <c r="A19" s="11">
        <v>15</v>
      </c>
      <c r="B19" s="12" t="s">
        <v>32</v>
      </c>
      <c r="C19" s="17" t="s">
        <v>50</v>
      </c>
      <c r="D19" s="18">
        <v>4</v>
      </c>
      <c r="E19" s="16">
        <f t="shared" si="0"/>
        <v>4.7058823529411764E-2</v>
      </c>
      <c r="F19" s="14">
        <f t="shared" si="1"/>
        <v>4854.1094117647062</v>
      </c>
    </row>
    <row r="20" spans="1:6" x14ac:dyDescent="0.25">
      <c r="A20" s="11">
        <v>16</v>
      </c>
      <c r="B20" s="12" t="s">
        <v>33</v>
      </c>
      <c r="C20" s="17" t="s">
        <v>51</v>
      </c>
      <c r="D20" s="18">
        <v>4</v>
      </c>
      <c r="E20" s="16">
        <f t="shared" si="0"/>
        <v>4.7058823529411764E-2</v>
      </c>
      <c r="F20" s="14">
        <f t="shared" si="1"/>
        <v>4854.1094117647062</v>
      </c>
    </row>
    <row r="21" spans="1:6" x14ac:dyDescent="0.25">
      <c r="A21" s="11">
        <v>17</v>
      </c>
      <c r="B21" s="12" t="s">
        <v>34</v>
      </c>
      <c r="C21" s="17" t="s">
        <v>52</v>
      </c>
      <c r="D21" s="18">
        <v>3</v>
      </c>
      <c r="E21" s="16">
        <f t="shared" si="0"/>
        <v>3.5294117647058823E-2</v>
      </c>
      <c r="F21" s="14">
        <f t="shared" si="1"/>
        <v>3640.5820588235297</v>
      </c>
    </row>
    <row r="22" spans="1:6" x14ac:dyDescent="0.25">
      <c r="D22" s="18">
        <f>SUM(D5:D21)</f>
        <v>85</v>
      </c>
      <c r="E22" s="16">
        <f>SUM(E5:E21)</f>
        <v>1.0000000000000002</v>
      </c>
      <c r="F22" s="15">
        <f>SUM(F5:F21)</f>
        <v>103149.825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B325-044A-429C-825E-D47B62C10D99}">
  <sheetPr>
    <tabColor rgb="FF92D050"/>
  </sheetPr>
  <dimension ref="A1:F22"/>
  <sheetViews>
    <sheetView topLeftCell="A8" workbookViewId="0">
      <selection activeCell="D18" sqref="D18"/>
    </sheetView>
  </sheetViews>
  <sheetFormatPr baseColWidth="10" defaultRowHeight="15" x14ac:dyDescent="0.25"/>
  <cols>
    <col min="1" max="1" width="3.7109375" customWidth="1"/>
    <col min="2" max="2" width="26.85546875" bestFit="1" customWidth="1"/>
    <col min="3" max="3" width="13.85546875" bestFit="1" customWidth="1"/>
  </cols>
  <sheetData>
    <row r="1" spans="1:6" x14ac:dyDescent="0.25">
      <c r="B1" s="19" t="s">
        <v>0</v>
      </c>
      <c r="C1" s="19" t="s">
        <v>53</v>
      </c>
    </row>
    <row r="2" spans="1:6" x14ac:dyDescent="0.25">
      <c r="B2" s="2" t="s">
        <v>7</v>
      </c>
      <c r="C2" s="14">
        <f>'ADAIN 2025'!D18</f>
        <v>103149.82500000001</v>
      </c>
    </row>
    <row r="4" spans="1:6" ht="38.25" x14ac:dyDescent="0.25">
      <c r="A4" s="19" t="s">
        <v>35</v>
      </c>
      <c r="B4" s="19" t="s">
        <v>10</v>
      </c>
      <c r="C4" s="19" t="s">
        <v>11</v>
      </c>
      <c r="D4" s="20" t="s">
        <v>111</v>
      </c>
      <c r="E4" s="19" t="s">
        <v>1</v>
      </c>
      <c r="F4" s="19" t="s">
        <v>2</v>
      </c>
    </row>
    <row r="5" spans="1:6" x14ac:dyDescent="0.25">
      <c r="A5" s="11">
        <v>1</v>
      </c>
      <c r="B5" s="13" t="s">
        <v>18</v>
      </c>
      <c r="C5" s="17" t="s">
        <v>36</v>
      </c>
      <c r="D5" s="18">
        <v>5</v>
      </c>
      <c r="E5" s="16">
        <f>D5/$D$22</f>
        <v>7.2463768115942032E-2</v>
      </c>
      <c r="F5" s="14">
        <f>$C$2*E5</f>
        <v>7474.6250000000009</v>
      </c>
    </row>
    <row r="6" spans="1:6" x14ac:dyDescent="0.25">
      <c r="A6" s="11">
        <v>2</v>
      </c>
      <c r="B6" s="12" t="s">
        <v>19</v>
      </c>
      <c r="C6" s="17" t="s">
        <v>37</v>
      </c>
      <c r="D6" s="18">
        <v>3</v>
      </c>
      <c r="E6" s="16">
        <f t="shared" ref="E6:E21" si="0">D6/$D$22</f>
        <v>4.3478260869565216E-2</v>
      </c>
      <c r="F6" s="14">
        <f t="shared" ref="F6:F21" si="1">$C$2*E6</f>
        <v>4484.7750000000005</v>
      </c>
    </row>
    <row r="7" spans="1:6" x14ac:dyDescent="0.25">
      <c r="A7" s="11">
        <v>3</v>
      </c>
      <c r="B7" s="12" t="s">
        <v>20</v>
      </c>
      <c r="C7" s="17" t="s">
        <v>38</v>
      </c>
      <c r="D7" s="18">
        <v>5</v>
      </c>
      <c r="E7" s="16">
        <f t="shared" si="0"/>
        <v>7.2463768115942032E-2</v>
      </c>
      <c r="F7" s="14">
        <f t="shared" si="1"/>
        <v>7474.6250000000009</v>
      </c>
    </row>
    <row r="8" spans="1:6" x14ac:dyDescent="0.25">
      <c r="A8" s="11">
        <v>4</v>
      </c>
      <c r="B8" s="12" t="s">
        <v>21</v>
      </c>
      <c r="C8" s="17" t="s">
        <v>39</v>
      </c>
      <c r="D8" s="18">
        <v>5</v>
      </c>
      <c r="E8" s="16">
        <f t="shared" si="0"/>
        <v>7.2463768115942032E-2</v>
      </c>
      <c r="F8" s="14">
        <f t="shared" si="1"/>
        <v>7474.6250000000009</v>
      </c>
    </row>
    <row r="9" spans="1:6" x14ac:dyDescent="0.25">
      <c r="A9" s="11">
        <v>5</v>
      </c>
      <c r="B9" s="12" t="s">
        <v>22</v>
      </c>
      <c r="C9" s="17" t="s">
        <v>40</v>
      </c>
      <c r="D9" s="18">
        <v>5</v>
      </c>
      <c r="E9" s="16">
        <f t="shared" si="0"/>
        <v>7.2463768115942032E-2</v>
      </c>
      <c r="F9" s="14">
        <f t="shared" si="1"/>
        <v>7474.6250000000009</v>
      </c>
    </row>
    <row r="10" spans="1:6" x14ac:dyDescent="0.25">
      <c r="A10" s="11">
        <v>6</v>
      </c>
      <c r="B10" s="12" t="s">
        <v>23</v>
      </c>
      <c r="C10" s="17" t="s">
        <v>41</v>
      </c>
      <c r="D10" s="18">
        <v>5</v>
      </c>
      <c r="E10" s="16">
        <f t="shared" si="0"/>
        <v>7.2463768115942032E-2</v>
      </c>
      <c r="F10" s="14">
        <f t="shared" si="1"/>
        <v>7474.6250000000009</v>
      </c>
    </row>
    <row r="11" spans="1:6" x14ac:dyDescent="0.25">
      <c r="A11" s="11">
        <v>7</v>
      </c>
      <c r="B11" s="12" t="s">
        <v>24</v>
      </c>
      <c r="C11" s="17" t="s">
        <v>42</v>
      </c>
      <c r="D11" s="18">
        <v>4</v>
      </c>
      <c r="E11" s="16">
        <f t="shared" si="0"/>
        <v>5.7971014492753624E-2</v>
      </c>
      <c r="F11" s="14">
        <f t="shared" si="1"/>
        <v>5979.7000000000007</v>
      </c>
    </row>
    <row r="12" spans="1:6" x14ac:dyDescent="0.25">
      <c r="A12" s="11">
        <v>8</v>
      </c>
      <c r="B12" s="12" t="s">
        <v>25</v>
      </c>
      <c r="C12" s="17" t="s">
        <v>43</v>
      </c>
      <c r="D12" s="18">
        <v>5</v>
      </c>
      <c r="E12" s="16">
        <f t="shared" si="0"/>
        <v>7.2463768115942032E-2</v>
      </c>
      <c r="F12" s="14">
        <f t="shared" si="1"/>
        <v>7474.6250000000009</v>
      </c>
    </row>
    <row r="13" spans="1:6" x14ac:dyDescent="0.25">
      <c r="A13" s="11">
        <v>9</v>
      </c>
      <c r="B13" s="12" t="s">
        <v>26</v>
      </c>
      <c r="C13" s="17" t="s">
        <v>44</v>
      </c>
      <c r="D13" s="18">
        <v>4</v>
      </c>
      <c r="E13" s="16">
        <f t="shared" si="0"/>
        <v>5.7971014492753624E-2</v>
      </c>
      <c r="F13" s="14">
        <f t="shared" si="1"/>
        <v>5979.7000000000007</v>
      </c>
    </row>
    <row r="14" spans="1:6" x14ac:dyDescent="0.25">
      <c r="A14" s="11">
        <v>10</v>
      </c>
      <c r="B14" s="12" t="s">
        <v>27</v>
      </c>
      <c r="C14" s="17" t="s">
        <v>45</v>
      </c>
      <c r="D14" s="18">
        <v>4</v>
      </c>
      <c r="E14" s="16">
        <f t="shared" si="0"/>
        <v>5.7971014492753624E-2</v>
      </c>
      <c r="F14" s="14">
        <f t="shared" si="1"/>
        <v>5979.7000000000007</v>
      </c>
    </row>
    <row r="15" spans="1:6" x14ac:dyDescent="0.25">
      <c r="A15" s="11">
        <v>11</v>
      </c>
      <c r="B15" s="12" t="s">
        <v>28</v>
      </c>
      <c r="C15" s="17" t="s">
        <v>46</v>
      </c>
      <c r="D15" s="18">
        <v>4</v>
      </c>
      <c r="E15" s="16">
        <f t="shared" si="0"/>
        <v>5.7971014492753624E-2</v>
      </c>
      <c r="F15" s="14">
        <f t="shared" si="1"/>
        <v>5979.7000000000007</v>
      </c>
    </row>
    <row r="16" spans="1:6" x14ac:dyDescent="0.25">
      <c r="A16" s="11">
        <v>12</v>
      </c>
      <c r="B16" s="12" t="s">
        <v>29</v>
      </c>
      <c r="C16" s="17" t="s">
        <v>47</v>
      </c>
      <c r="D16" s="18">
        <v>5</v>
      </c>
      <c r="E16" s="16">
        <f t="shared" si="0"/>
        <v>7.2463768115942032E-2</v>
      </c>
      <c r="F16" s="14">
        <f t="shared" si="1"/>
        <v>7474.6250000000009</v>
      </c>
    </row>
    <row r="17" spans="1:6" x14ac:dyDescent="0.25">
      <c r="A17" s="11">
        <v>13</v>
      </c>
      <c r="B17" s="12" t="s">
        <v>30</v>
      </c>
      <c r="C17" s="17" t="s">
        <v>48</v>
      </c>
      <c r="D17" s="18">
        <v>3</v>
      </c>
      <c r="E17" s="16">
        <f t="shared" si="0"/>
        <v>4.3478260869565216E-2</v>
      </c>
      <c r="F17" s="14">
        <f t="shared" si="1"/>
        <v>4484.7750000000005</v>
      </c>
    </row>
    <row r="18" spans="1:6" x14ac:dyDescent="0.25">
      <c r="A18" s="11">
        <v>14</v>
      </c>
      <c r="B18" s="12" t="s">
        <v>31</v>
      </c>
      <c r="C18" s="17" t="s">
        <v>49</v>
      </c>
      <c r="D18" s="18">
        <v>4</v>
      </c>
      <c r="E18" s="16">
        <f t="shared" si="0"/>
        <v>5.7971014492753624E-2</v>
      </c>
      <c r="F18" s="14">
        <f t="shared" si="1"/>
        <v>5979.7000000000007</v>
      </c>
    </row>
    <row r="19" spans="1:6" x14ac:dyDescent="0.25">
      <c r="A19" s="11">
        <v>15</v>
      </c>
      <c r="B19" s="12" t="s">
        <v>32</v>
      </c>
      <c r="C19" s="17" t="s">
        <v>50</v>
      </c>
      <c r="D19" s="18">
        <v>3</v>
      </c>
      <c r="E19" s="16">
        <f t="shared" si="0"/>
        <v>4.3478260869565216E-2</v>
      </c>
      <c r="F19" s="14">
        <f t="shared" si="1"/>
        <v>4484.7750000000005</v>
      </c>
    </row>
    <row r="20" spans="1:6" x14ac:dyDescent="0.25">
      <c r="A20" s="11">
        <v>16</v>
      </c>
      <c r="B20" s="12" t="s">
        <v>33</v>
      </c>
      <c r="C20" s="17" t="s">
        <v>51</v>
      </c>
      <c r="D20" s="18">
        <v>3</v>
      </c>
      <c r="E20" s="16">
        <f t="shared" si="0"/>
        <v>4.3478260869565216E-2</v>
      </c>
      <c r="F20" s="14">
        <f t="shared" si="1"/>
        <v>4484.7750000000005</v>
      </c>
    </row>
    <row r="21" spans="1:6" x14ac:dyDescent="0.25">
      <c r="A21" s="11">
        <v>17</v>
      </c>
      <c r="B21" s="12" t="s">
        <v>34</v>
      </c>
      <c r="C21" s="17" t="s">
        <v>52</v>
      </c>
      <c r="D21" s="18">
        <v>2</v>
      </c>
      <c r="E21" s="16">
        <f t="shared" si="0"/>
        <v>2.8985507246376812E-2</v>
      </c>
      <c r="F21" s="14">
        <f t="shared" si="1"/>
        <v>2989.8500000000004</v>
      </c>
    </row>
    <row r="22" spans="1:6" x14ac:dyDescent="0.25">
      <c r="D22" s="18">
        <f>SUM(D5:D21)</f>
        <v>69</v>
      </c>
      <c r="E22" s="16">
        <f>SUM(E5:E21)</f>
        <v>1</v>
      </c>
      <c r="F22" s="15">
        <f>SUM(F5:F21)</f>
        <v>103149.82499999998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43AC-D658-4234-A4DE-C5DE3E0CFC4B}">
  <sheetPr>
    <tabColor rgb="FF92D050"/>
  </sheetPr>
  <dimension ref="A1:G22"/>
  <sheetViews>
    <sheetView workbookViewId="0">
      <selection activeCell="G12" sqref="G12"/>
    </sheetView>
  </sheetViews>
  <sheetFormatPr baseColWidth="10" defaultRowHeight="15" x14ac:dyDescent="0.25"/>
  <cols>
    <col min="1" max="1" width="5.5703125" customWidth="1"/>
    <col min="2" max="2" width="26.85546875" bestFit="1" customWidth="1"/>
    <col min="3" max="3" width="13.85546875" bestFit="1" customWidth="1"/>
    <col min="4" max="4" width="15.5703125" bestFit="1" customWidth="1"/>
    <col min="5" max="5" width="11.28515625" customWidth="1"/>
    <col min="7" max="7" width="12.7109375" bestFit="1" customWidth="1"/>
  </cols>
  <sheetData>
    <row r="1" spans="1:7" x14ac:dyDescent="0.25">
      <c r="B1" s="19" t="s">
        <v>0</v>
      </c>
      <c r="C1" s="19" t="s">
        <v>53</v>
      </c>
      <c r="D1" s="25"/>
      <c r="E1" s="25"/>
    </row>
    <row r="2" spans="1:7" x14ac:dyDescent="0.25">
      <c r="B2" s="2" t="s">
        <v>8</v>
      </c>
      <c r="C2" s="14">
        <f>'ADAIN 2025'!D19</f>
        <v>1237797.8999999999</v>
      </c>
      <c r="D2" s="24"/>
      <c r="E2" s="24"/>
    </row>
    <row r="4" spans="1:7" ht="25.5" x14ac:dyDescent="0.25">
      <c r="A4" s="19" t="s">
        <v>35</v>
      </c>
      <c r="B4" s="19" t="s">
        <v>10</v>
      </c>
      <c r="C4" s="19" t="s">
        <v>11</v>
      </c>
      <c r="D4" s="19" t="s">
        <v>55</v>
      </c>
      <c r="E4" s="19" t="s">
        <v>56</v>
      </c>
      <c r="F4" s="20" t="s">
        <v>71</v>
      </c>
      <c r="G4" s="19" t="s">
        <v>2</v>
      </c>
    </row>
    <row r="5" spans="1:7" x14ac:dyDescent="0.25">
      <c r="A5" s="11">
        <v>1</v>
      </c>
      <c r="B5" s="13" t="s">
        <v>18</v>
      </c>
      <c r="C5" s="11" t="s">
        <v>36</v>
      </c>
      <c r="D5" s="11" t="s">
        <v>57</v>
      </c>
      <c r="E5" s="26">
        <v>7</v>
      </c>
      <c r="F5" s="16">
        <f>VLOOKUP(E5,'% por Universidad'!$B$4:$S$20,18,0)</f>
        <v>0.10858296960980074</v>
      </c>
      <c r="G5" s="14">
        <f>$C$2*F5</f>
        <v>134403.77175877517</v>
      </c>
    </row>
    <row r="6" spans="1:7" x14ac:dyDescent="0.25">
      <c r="A6" s="11">
        <v>2</v>
      </c>
      <c r="B6" s="12" t="s">
        <v>19</v>
      </c>
      <c r="C6" s="11" t="s">
        <v>37</v>
      </c>
      <c r="D6" s="11" t="s">
        <v>58</v>
      </c>
      <c r="E6" s="26">
        <v>1</v>
      </c>
      <c r="F6" s="16">
        <f>VLOOKUP(E6,'% por Universidad'!$B$4:$S$20,18,0)</f>
        <v>5.871254430826775E-2</v>
      </c>
      <c r="G6" s="14">
        <f t="shared" ref="G6:G21" si="0">$C$2*F6</f>
        <v>72674.264048430763</v>
      </c>
    </row>
    <row r="7" spans="1:7" x14ac:dyDescent="0.25">
      <c r="A7" s="11">
        <v>3</v>
      </c>
      <c r="B7" s="12" t="s">
        <v>20</v>
      </c>
      <c r="C7" s="11" t="s">
        <v>38</v>
      </c>
      <c r="D7" s="11" t="s">
        <v>59</v>
      </c>
      <c r="E7" s="26">
        <v>9</v>
      </c>
      <c r="F7" s="16">
        <f>VLOOKUP(E7,'% por Universidad'!$B$4:$S$20,18,0)</f>
        <v>0.11089303474548726</v>
      </c>
      <c r="G7" s="14">
        <f t="shared" si="0"/>
        <v>137263.16553259114</v>
      </c>
    </row>
    <row r="8" spans="1:7" x14ac:dyDescent="0.25">
      <c r="A8" s="11">
        <v>4</v>
      </c>
      <c r="B8" s="12" t="s">
        <v>21</v>
      </c>
      <c r="C8" s="11" t="s">
        <v>39</v>
      </c>
      <c r="D8" s="11" t="s">
        <v>60</v>
      </c>
      <c r="E8" s="26">
        <v>8</v>
      </c>
      <c r="F8" s="16">
        <f>VLOOKUP(E8,'% por Universidad'!$B$4:$S$20,18,0)</f>
        <v>0.1252077932792772</v>
      </c>
      <c r="G8" s="14">
        <f t="shared" si="0"/>
        <v>154981.94358472343</v>
      </c>
    </row>
    <row r="9" spans="1:7" x14ac:dyDescent="0.25">
      <c r="A9" s="11">
        <v>5</v>
      </c>
      <c r="B9" s="12" t="s">
        <v>22</v>
      </c>
      <c r="C9" s="11" t="s">
        <v>40</v>
      </c>
      <c r="D9" s="11" t="s">
        <v>61</v>
      </c>
      <c r="E9" s="26">
        <v>13</v>
      </c>
      <c r="F9" s="16">
        <f>VLOOKUP(E9,'% por Universidad'!$B$4:$S$20,18,0)</f>
        <v>1.5509827711467963E-2</v>
      </c>
      <c r="G9" s="14">
        <f t="shared" si="0"/>
        <v>19198.032170616851</v>
      </c>
    </row>
    <row r="10" spans="1:7" x14ac:dyDescent="0.25">
      <c r="A10" s="11">
        <v>6</v>
      </c>
      <c r="B10" s="12" t="s">
        <v>23</v>
      </c>
      <c r="C10" s="11" t="s">
        <v>41</v>
      </c>
      <c r="D10" s="11" t="s">
        <v>62</v>
      </c>
      <c r="E10" s="26">
        <v>2</v>
      </c>
      <c r="F10" s="16">
        <f>VLOOKUP(E10,'% por Universidad'!$B$4:$S$20,18,0)</f>
        <v>0.10572934417264941</v>
      </c>
      <c r="G10" s="14">
        <f t="shared" si="0"/>
        <v>130871.56018528267</v>
      </c>
    </row>
    <row r="11" spans="1:7" x14ac:dyDescent="0.25">
      <c r="A11" s="11">
        <v>7</v>
      </c>
      <c r="B11" s="12" t="s">
        <v>24</v>
      </c>
      <c r="C11" s="11" t="s">
        <v>42</v>
      </c>
      <c r="D11" s="11" t="s">
        <v>63</v>
      </c>
      <c r="E11" s="26">
        <v>4</v>
      </c>
      <c r="F11" s="16">
        <f>VLOOKUP(E11,'% por Universidad'!$B$4:$S$20,18,0)</f>
        <v>8.0679914713803064E-2</v>
      </c>
      <c r="G11" s="14">
        <f t="shared" si="0"/>
        <v>99865.429004924532</v>
      </c>
    </row>
    <row r="12" spans="1:7" x14ac:dyDescent="0.25">
      <c r="A12" s="11">
        <v>8</v>
      </c>
      <c r="B12" s="12" t="s">
        <v>25</v>
      </c>
      <c r="C12" s="11" t="s">
        <v>43</v>
      </c>
      <c r="D12" s="11" t="s">
        <v>64</v>
      </c>
      <c r="E12" s="26">
        <v>5</v>
      </c>
      <c r="F12" s="16">
        <f>VLOOKUP(E12,'% por Universidad'!$B$4:$S$20,18,0)</f>
        <v>1.7013381381060455E-2</v>
      </c>
      <c r="G12" s="14">
        <f t="shared" si="0"/>
        <v>21059.127745375728</v>
      </c>
    </row>
    <row r="13" spans="1:7" x14ac:dyDescent="0.25">
      <c r="A13" s="11">
        <v>9</v>
      </c>
      <c r="B13" s="12" t="s">
        <v>26</v>
      </c>
      <c r="C13" s="11" t="s">
        <v>44</v>
      </c>
      <c r="D13" s="11" t="s">
        <v>65</v>
      </c>
      <c r="E13" s="26">
        <v>6</v>
      </c>
      <c r="F13" s="16">
        <f>VLOOKUP(E13,'% por Universidad'!$B$4:$S$20,18,0)</f>
        <v>9.318671012121979E-2</v>
      </c>
      <c r="G13" s="14">
        <f t="shared" si="0"/>
        <v>115346.3140959546</v>
      </c>
    </row>
    <row r="14" spans="1:7" x14ac:dyDescent="0.25">
      <c r="A14" s="11">
        <v>10</v>
      </c>
      <c r="B14" s="12" t="s">
        <v>27</v>
      </c>
      <c r="C14" s="11" t="s">
        <v>45</v>
      </c>
      <c r="D14" s="11" t="s">
        <v>66</v>
      </c>
      <c r="E14" s="26">
        <v>10</v>
      </c>
      <c r="F14" s="16">
        <f>VLOOKUP(E14,'% por Universidad'!$B$4:$S$20,18,0)</f>
        <v>4.965001264912914E-2</v>
      </c>
      <c r="G14" s="14">
        <f t="shared" si="0"/>
        <v>61456.681392065482</v>
      </c>
    </row>
    <row r="15" spans="1:7" x14ac:dyDescent="0.25">
      <c r="A15" s="11">
        <v>11</v>
      </c>
      <c r="B15" s="12" t="s">
        <v>28</v>
      </c>
      <c r="C15" s="11" t="s">
        <v>46</v>
      </c>
      <c r="D15" s="11" t="s">
        <v>67</v>
      </c>
      <c r="E15" s="26">
        <v>3</v>
      </c>
      <c r="F15" s="16">
        <f>VLOOKUP(E15,'% por Universidad'!$B$4:$S$20,18,0)</f>
        <v>5.528582707159891E-2</v>
      </c>
      <c r="G15" s="14">
        <f t="shared" si="0"/>
        <v>68432.680648988273</v>
      </c>
    </row>
    <row r="16" spans="1:7" x14ac:dyDescent="0.25">
      <c r="A16" s="11">
        <v>12</v>
      </c>
      <c r="B16" s="12" t="s">
        <v>29</v>
      </c>
      <c r="C16" s="11" t="s">
        <v>47</v>
      </c>
      <c r="D16" s="11" t="s">
        <v>68</v>
      </c>
      <c r="E16" s="26">
        <v>15</v>
      </c>
      <c r="F16" s="16">
        <f>VLOOKUP(E16,'% por Universidad'!$B$4:$S$20,18,0)</f>
        <v>4.1131030277413994E-2</v>
      </c>
      <c r="G16" s="14">
        <f t="shared" si="0"/>
        <v>50911.902902219452</v>
      </c>
    </row>
    <row r="17" spans="1:7" x14ac:dyDescent="0.25">
      <c r="A17" s="11">
        <v>13</v>
      </c>
      <c r="B17" s="12" t="s">
        <v>30</v>
      </c>
      <c r="C17" s="11" t="s">
        <v>48</v>
      </c>
      <c r="D17" s="11" t="s">
        <v>64</v>
      </c>
      <c r="E17" s="26">
        <v>5</v>
      </c>
      <c r="F17" s="16">
        <f>VLOOKUP(E17,'% por Universidad'!$B$4:$S$20,18,0)</f>
        <v>1.7013381381060455E-2</v>
      </c>
      <c r="G17" s="14">
        <f t="shared" si="0"/>
        <v>21059.127745375728</v>
      </c>
    </row>
    <row r="18" spans="1:7" x14ac:dyDescent="0.25">
      <c r="A18" s="11">
        <v>14</v>
      </c>
      <c r="B18" s="12" t="s">
        <v>31</v>
      </c>
      <c r="C18" s="11" t="s">
        <v>49</v>
      </c>
      <c r="D18" s="11" t="s">
        <v>69</v>
      </c>
      <c r="E18" s="26">
        <v>12</v>
      </c>
      <c r="F18" s="16">
        <f>VLOOKUP(E18,'% por Universidad'!$B$4:$S$20,18,0)</f>
        <v>5.374766161079135E-2</v>
      </c>
      <c r="G18" s="14">
        <f t="shared" si="0"/>
        <v>66528.742671748143</v>
      </c>
    </row>
    <row r="19" spans="1:7" x14ac:dyDescent="0.25">
      <c r="A19" s="11">
        <v>15</v>
      </c>
      <c r="B19" s="12" t="s">
        <v>32</v>
      </c>
      <c r="C19" s="11" t="s">
        <v>50</v>
      </c>
      <c r="D19" s="11" t="s">
        <v>61</v>
      </c>
      <c r="E19" s="26">
        <v>13</v>
      </c>
      <c r="F19" s="16">
        <f>VLOOKUP(E19,'% por Universidad'!$B$4:$S$20,18,0)</f>
        <v>1.5509827711467963E-2</v>
      </c>
      <c r="G19" s="14">
        <f t="shared" si="0"/>
        <v>19198.032170616851</v>
      </c>
    </row>
    <row r="20" spans="1:7" x14ac:dyDescent="0.25">
      <c r="A20" s="11">
        <v>16</v>
      </c>
      <c r="B20" s="12" t="s">
        <v>33</v>
      </c>
      <c r="C20" s="11" t="s">
        <v>51</v>
      </c>
      <c r="D20" s="11" t="s">
        <v>61</v>
      </c>
      <c r="E20" s="26">
        <v>13</v>
      </c>
      <c r="F20" s="16">
        <f>VLOOKUP(E20,'% por Universidad'!$B$4:$S$20,18,0)</f>
        <v>1.5509827711467963E-2</v>
      </c>
      <c r="G20" s="14">
        <f t="shared" si="0"/>
        <v>19198.032170616851</v>
      </c>
    </row>
    <row r="21" spans="1:7" x14ac:dyDescent="0.25">
      <c r="A21" s="11">
        <v>17</v>
      </c>
      <c r="B21" s="12" t="s">
        <v>34</v>
      </c>
      <c r="C21" s="11" t="s">
        <v>52</v>
      </c>
      <c r="D21" s="11" t="s">
        <v>70</v>
      </c>
      <c r="E21" s="26">
        <v>11</v>
      </c>
      <c r="F21" s="16">
        <f>VLOOKUP(E21,'% por Universidad'!$B$4:$S$20,18,0)</f>
        <v>3.6636911544036636E-2</v>
      </c>
      <c r="G21" s="14">
        <f t="shared" si="0"/>
        <v>45349.092171694305</v>
      </c>
    </row>
    <row r="22" spans="1:7" x14ac:dyDescent="0.25">
      <c r="F22" s="27">
        <f>SUM(F5:F21)</f>
        <v>0.99999999999999989</v>
      </c>
      <c r="G22" s="28">
        <f>SUM(G5:G21)</f>
        <v>1237797.8999999999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C740-8C35-4654-A8C7-410102D61DEC}">
  <sheetPr>
    <tabColor rgb="FF92D050"/>
  </sheetPr>
  <dimension ref="A1:T23"/>
  <sheetViews>
    <sheetView topLeftCell="H2" workbookViewId="0">
      <selection activeCell="V4" sqref="V4"/>
    </sheetView>
  </sheetViews>
  <sheetFormatPr baseColWidth="10" defaultRowHeight="15" x14ac:dyDescent="0.25"/>
  <cols>
    <col min="1" max="1" width="16" customWidth="1"/>
    <col min="5" max="5" width="14.42578125" customWidth="1"/>
    <col min="7" max="7" width="14.140625" customWidth="1"/>
    <col min="9" max="9" width="15.5703125" customWidth="1"/>
    <col min="11" max="11" width="15" customWidth="1"/>
    <col min="13" max="13" width="15.140625" customWidth="1"/>
  </cols>
  <sheetData>
    <row r="1" spans="1:20" ht="123.75" customHeight="1" x14ac:dyDescent="0.25">
      <c r="A1" s="30"/>
      <c r="B1" s="31"/>
      <c r="C1" s="31"/>
      <c r="D1" s="138" t="s">
        <v>132</v>
      </c>
      <c r="E1" s="139"/>
      <c r="F1" s="138" t="s">
        <v>136</v>
      </c>
      <c r="G1" s="139"/>
      <c r="H1" s="140" t="s">
        <v>143</v>
      </c>
      <c r="I1" s="141"/>
      <c r="J1" s="140" t="s">
        <v>112</v>
      </c>
      <c r="K1" s="141"/>
      <c r="L1" s="32"/>
      <c r="M1" s="32"/>
      <c r="N1" s="30"/>
      <c r="O1" s="30"/>
      <c r="P1" s="30"/>
      <c r="Q1" s="30"/>
      <c r="R1" s="30"/>
      <c r="S1" s="30"/>
    </row>
    <row r="2" spans="1:20" x14ac:dyDescent="0.25">
      <c r="A2" s="30"/>
      <c r="B2" s="30"/>
      <c r="C2" s="30"/>
      <c r="D2" s="142" t="s">
        <v>72</v>
      </c>
      <c r="E2" s="143"/>
      <c r="F2" s="142" t="s">
        <v>72</v>
      </c>
      <c r="G2" s="143"/>
      <c r="H2" s="142" t="s">
        <v>72</v>
      </c>
      <c r="I2" s="143"/>
      <c r="J2" s="142" t="s">
        <v>72</v>
      </c>
      <c r="K2" s="143"/>
      <c r="L2" s="137" t="s">
        <v>73</v>
      </c>
      <c r="M2" s="137"/>
      <c r="N2" s="30"/>
      <c r="O2" s="30"/>
      <c r="P2" s="30"/>
      <c r="Q2" s="30"/>
      <c r="R2" s="30"/>
      <c r="S2" s="30"/>
    </row>
    <row r="3" spans="1:20" ht="63.75" x14ac:dyDescent="0.25">
      <c r="A3" s="33" t="s">
        <v>74</v>
      </c>
      <c r="B3" s="34" t="s">
        <v>56</v>
      </c>
      <c r="C3" s="34" t="s">
        <v>75</v>
      </c>
      <c r="D3" s="34" t="s">
        <v>76</v>
      </c>
      <c r="E3" s="34" t="s">
        <v>77</v>
      </c>
      <c r="F3" s="34" t="s">
        <v>76</v>
      </c>
      <c r="G3" s="34" t="s">
        <v>78</v>
      </c>
      <c r="H3" s="34" t="s">
        <v>76</v>
      </c>
      <c r="I3" s="34" t="s">
        <v>78</v>
      </c>
      <c r="J3" s="34" t="s">
        <v>76</v>
      </c>
      <c r="K3" s="34" t="s">
        <v>79</v>
      </c>
      <c r="L3" s="34" t="s">
        <v>76</v>
      </c>
      <c r="M3" s="34" t="s">
        <v>79</v>
      </c>
      <c r="N3" s="34" t="s">
        <v>80</v>
      </c>
      <c r="O3" s="34" t="s">
        <v>81</v>
      </c>
      <c r="P3" s="34" t="s">
        <v>82</v>
      </c>
      <c r="Q3" s="34" t="s">
        <v>83</v>
      </c>
      <c r="R3" s="34" t="s">
        <v>84</v>
      </c>
      <c r="S3" s="34" t="s">
        <v>85</v>
      </c>
      <c r="T3" s="34" t="s">
        <v>100</v>
      </c>
    </row>
    <row r="4" spans="1:20" x14ac:dyDescent="0.25">
      <c r="A4" s="35" t="s">
        <v>68</v>
      </c>
      <c r="B4" s="36">
        <v>15</v>
      </c>
      <c r="C4" s="36" t="s">
        <v>86</v>
      </c>
      <c r="D4" s="37">
        <f>IFERROR(VLOOKUP(A4,'19.11'!$A$7:$C$23,2,0),0)</f>
        <v>5</v>
      </c>
      <c r="E4" s="37">
        <f>IFERROR(VLOOKUP(A4,'19.11'!$A$7:$C$23,3,0),0)</f>
        <v>21336332</v>
      </c>
      <c r="F4" s="37">
        <f>IFERROR(VLOOKUP(A4,'19.12'!$A$7:$C$23,2,0),0)</f>
        <v>15</v>
      </c>
      <c r="G4" s="37">
        <f>IFERROR(VLOOKUP(A4,'19.12'!$A$7:$C$23,3,0),0)</f>
        <v>87995525</v>
      </c>
      <c r="H4" s="37">
        <f>IFERROR(VLOOKUP(A4,'19.13'!$A$7:$C$23,2,0),0)</f>
        <v>8</v>
      </c>
      <c r="I4" s="37">
        <f>IFERROR(VLOOKUP(A4,'19.13'!$A$7:$C$23,3,0),0)</f>
        <v>232347507</v>
      </c>
      <c r="J4" s="37">
        <f>IFERROR(VLOOKUP(A4,'19.9'!$A$7:$C$23,2,0),0)</f>
        <v>10</v>
      </c>
      <c r="K4" s="37">
        <f>IFERROR(VLOOKUP(A4,'19.9'!$A$7:$C$23,3,0),0)</f>
        <v>86458804</v>
      </c>
      <c r="L4" s="37">
        <f>D4+F4+H4+J4</f>
        <v>38</v>
      </c>
      <c r="M4" s="37">
        <f>E4+G4+I4+K4</f>
        <v>428138168</v>
      </c>
      <c r="N4" s="37">
        <f>VLOOKUP(B4,Población!$A$6:$B$21,2,0)</f>
        <v>226068</v>
      </c>
      <c r="O4" s="35">
        <f t="shared" ref="O4:O19" si="0">IF(C4="SÍ",(M4/N4),0)</f>
        <v>1893.8468425429517</v>
      </c>
      <c r="P4" s="38">
        <f t="shared" ref="P4:P19" si="1">IF(O4&gt;0,$O$22/O4,0)</f>
        <v>0.32850215789420417</v>
      </c>
      <c r="Q4" s="38">
        <f t="shared" ref="Q4:Q19" si="2">P4/$P$20</f>
        <v>4.1131030277413994E-2</v>
      </c>
      <c r="R4" s="36">
        <v>1</v>
      </c>
      <c r="S4" s="38">
        <f>IF(Q4&gt;0,(Q4/R4),0)</f>
        <v>4.1131030277413994E-2</v>
      </c>
      <c r="T4" s="38">
        <f>R4*S4</f>
        <v>4.1131030277413994E-2</v>
      </c>
    </row>
    <row r="5" spans="1:20" x14ac:dyDescent="0.25">
      <c r="A5" s="35" t="s">
        <v>58</v>
      </c>
      <c r="B5" s="36">
        <v>1</v>
      </c>
      <c r="C5" s="36" t="s">
        <v>86</v>
      </c>
      <c r="D5" s="37">
        <f>IFERROR(VLOOKUP(A5,'19.11'!$A$7:$C$23,2,0),0)</f>
        <v>7</v>
      </c>
      <c r="E5" s="37">
        <f>IFERROR(VLOOKUP(A5,'19.11'!$A$7:$C$23,3,0),0)</f>
        <v>155476664</v>
      </c>
      <c r="F5" s="37">
        <f>IFERROR(VLOOKUP(A5,'19.12'!$A$7:$C$23,2,0),0)</f>
        <v>9</v>
      </c>
      <c r="G5" s="37">
        <f>IFERROR(VLOOKUP(A5,'19.12'!$A$7:$C$23,3,0),0)</f>
        <v>149787645</v>
      </c>
      <c r="H5" s="37">
        <f>IFERROR(VLOOKUP(A5,'19.13'!$A$7:$C$23,2,0),0)</f>
        <v>3</v>
      </c>
      <c r="I5" s="37">
        <f>IFERROR(VLOOKUP(A5,'19.13'!$A$7:$C$23,3,0),0)</f>
        <v>40952614</v>
      </c>
      <c r="J5" s="37">
        <f>IFERROR(VLOOKUP(A5,'19.9'!$A$7:$C$23,2,0),0)</f>
        <v>7</v>
      </c>
      <c r="K5" s="37">
        <f>IFERROR(VLOOKUP(A5,'19.9'!$A$7:$C$23,3,0),0)</f>
        <v>92345294</v>
      </c>
      <c r="L5" s="37">
        <f t="shared" ref="L5:M19" si="3">D5+F5+H5+J5</f>
        <v>26</v>
      </c>
      <c r="M5" s="37">
        <f t="shared" si="3"/>
        <v>438562217</v>
      </c>
      <c r="N5" s="37">
        <f>VLOOKUP(B5,Población!$A$6:$B$21,2,0)</f>
        <v>330558</v>
      </c>
      <c r="O5" s="35">
        <f t="shared" si="0"/>
        <v>1326.7330302095245</v>
      </c>
      <c r="P5" s="38">
        <f t="shared" si="1"/>
        <v>0.468920845664206</v>
      </c>
      <c r="Q5" s="38">
        <f t="shared" si="2"/>
        <v>5.871254430826775E-2</v>
      </c>
      <c r="R5" s="36">
        <v>1</v>
      </c>
      <c r="S5" s="38">
        <f t="shared" ref="S5:S19" si="4">IF(Q5&gt;0,(Q5/R5),0)</f>
        <v>5.871254430826775E-2</v>
      </c>
      <c r="T5" s="38">
        <f t="shared" ref="T5:T19" si="5">R5*S5</f>
        <v>5.871254430826775E-2</v>
      </c>
    </row>
    <row r="6" spans="1:20" x14ac:dyDescent="0.25">
      <c r="A6" s="35" t="s">
        <v>62</v>
      </c>
      <c r="B6" s="36">
        <v>2</v>
      </c>
      <c r="C6" s="36" t="s">
        <v>86</v>
      </c>
      <c r="D6" s="37">
        <f>IFERROR(VLOOKUP(A6,'19.11'!$A$7:$C$23,2,0),0)</f>
        <v>4</v>
      </c>
      <c r="E6" s="37">
        <f>IFERROR(VLOOKUP(A6,'19.11'!$A$7:$C$23,3,0),0)</f>
        <v>30756573</v>
      </c>
      <c r="F6" s="37">
        <f>IFERROR(VLOOKUP(A6,'19.12'!$A$7:$C$23,2,0),0)</f>
        <v>5</v>
      </c>
      <c r="G6" s="37">
        <f>IFERROR(VLOOKUP(A6,'19.12'!$A$7:$C$23,3,0),0)</f>
        <v>144540877</v>
      </c>
      <c r="H6" s="37">
        <f>IFERROR(VLOOKUP(A6,'19.13'!$A$7:$C$23,2,0),0)</f>
        <v>7</v>
      </c>
      <c r="I6" s="37">
        <f>IFERROR(VLOOKUP(A6,'19.13'!$A$7:$C$23,3,0),0)</f>
        <v>177196805</v>
      </c>
      <c r="J6" s="37">
        <f>IFERROR(VLOOKUP(A6,'19.9'!$A$7:$C$23,2,0),0)</f>
        <v>6</v>
      </c>
      <c r="K6" s="37">
        <f>IFERROR(VLOOKUP(A6,'19.9'!$A$7:$C$23,3,0),0)</f>
        <v>95105141</v>
      </c>
      <c r="L6" s="37">
        <f t="shared" si="3"/>
        <v>22</v>
      </c>
      <c r="M6" s="37">
        <f t="shared" si="3"/>
        <v>447599396</v>
      </c>
      <c r="N6" s="37">
        <f>VLOOKUP(B6,Población!$A$6:$B$21,2,0)</f>
        <v>607534</v>
      </c>
      <c r="O6" s="35">
        <f t="shared" si="0"/>
        <v>736.74789559102862</v>
      </c>
      <c r="P6" s="38">
        <f t="shared" si="1"/>
        <v>0.84443101666059306</v>
      </c>
      <c r="Q6" s="38">
        <f t="shared" si="2"/>
        <v>0.10572934417264941</v>
      </c>
      <c r="R6" s="36">
        <v>1</v>
      </c>
      <c r="S6" s="38">
        <f t="shared" si="4"/>
        <v>0.10572934417264941</v>
      </c>
      <c r="T6" s="38">
        <f t="shared" si="5"/>
        <v>0.10572934417264941</v>
      </c>
    </row>
    <row r="7" spans="1:20" x14ac:dyDescent="0.25">
      <c r="A7" s="35" t="s">
        <v>67</v>
      </c>
      <c r="B7" s="36">
        <v>3</v>
      </c>
      <c r="C7" s="36" t="s">
        <v>86</v>
      </c>
      <c r="D7" s="37">
        <f>IFERROR(VLOOKUP(A7,'19.11'!$A$7:$C$23,2,0),0)</f>
        <v>8</v>
      </c>
      <c r="E7" s="37">
        <f>IFERROR(VLOOKUP(A7,'19.11'!$A$7:$C$23,3,0),0)</f>
        <v>258992121</v>
      </c>
      <c r="F7" s="37">
        <f>IFERROR(VLOOKUP(A7,'19.12'!$A$7:$C$23,2,0),0)</f>
        <v>2</v>
      </c>
      <c r="G7" s="37">
        <f>IFERROR(VLOOKUP(A7,'19.12'!$A$7:$C$23,3,0),0)</f>
        <v>20597725</v>
      </c>
      <c r="H7" s="37">
        <f>IFERROR(VLOOKUP(A7,'19.13'!$A$7:$C$23,2,0),0)</f>
        <v>2</v>
      </c>
      <c r="I7" s="37">
        <f>IFERROR(VLOOKUP(A7,'19.13'!$A$7:$C$23,3,0),0)</f>
        <v>81818813</v>
      </c>
      <c r="J7" s="37">
        <f>IFERROR(VLOOKUP(A7,'19.9'!$A$7:$C$23,2,0),0)</f>
        <v>3</v>
      </c>
      <c r="K7" s="37">
        <f>IFERROR(VLOOKUP(A7,'19.9'!$A$7:$C$23,3,0),0)</f>
        <v>41792433</v>
      </c>
      <c r="L7" s="37">
        <f t="shared" si="3"/>
        <v>15</v>
      </c>
      <c r="M7" s="37">
        <f t="shared" si="3"/>
        <v>403201092</v>
      </c>
      <c r="N7" s="37">
        <f>VLOOKUP(B7,Población!$A$6:$B$21,2,0)</f>
        <v>286168</v>
      </c>
      <c r="O7" s="35">
        <f t="shared" si="0"/>
        <v>1408.9663833831876</v>
      </c>
      <c r="P7" s="38">
        <f t="shared" si="1"/>
        <v>0.44155260326554385</v>
      </c>
      <c r="Q7" s="38">
        <f t="shared" si="2"/>
        <v>5.528582707159891E-2</v>
      </c>
      <c r="R7" s="36">
        <v>1</v>
      </c>
      <c r="S7" s="38">
        <f t="shared" si="4"/>
        <v>5.528582707159891E-2</v>
      </c>
      <c r="T7" s="38">
        <f t="shared" si="5"/>
        <v>5.528582707159891E-2</v>
      </c>
    </row>
    <row r="8" spans="1:20" x14ac:dyDescent="0.25">
      <c r="A8" s="35" t="s">
        <v>63</v>
      </c>
      <c r="B8" s="36">
        <v>4</v>
      </c>
      <c r="C8" s="36" t="s">
        <v>86</v>
      </c>
      <c r="D8" s="37">
        <f>IFERROR(VLOOKUP(A8,'19.11'!$A$7:$C$23,2,0),0)</f>
        <v>24</v>
      </c>
      <c r="E8" s="37">
        <f>IFERROR(VLOOKUP(A8,'19.11'!$A$7:$C$23,3,0),0)</f>
        <v>179414332</v>
      </c>
      <c r="F8" s="37">
        <f>IFERROR(VLOOKUP(A8,'19.12'!$A$7:$C$23,2,0),0)</f>
        <v>22</v>
      </c>
      <c r="G8" s="37">
        <f>IFERROR(VLOOKUP(A8,'19.12'!$A$7:$C$23,3,0),0)</f>
        <v>222085713</v>
      </c>
      <c r="H8" s="37">
        <f>IFERROR(VLOOKUP(A8,'19.13'!$A$7:$C$23,2,0),0)</f>
        <v>6</v>
      </c>
      <c r="I8" s="37">
        <f>IFERROR(VLOOKUP(A8,'19.13'!$A$7:$C$23,3,0),0)</f>
        <v>161844765</v>
      </c>
      <c r="J8" s="37">
        <f>IFERROR(VLOOKUP(A8,'19.9'!$A$7:$C$23,2,0),0)</f>
        <v>13</v>
      </c>
      <c r="K8" s="37">
        <f>IFERROR(VLOOKUP(A8,'19.9'!$A$7:$C$23,3,0),0)</f>
        <v>168098972</v>
      </c>
      <c r="L8" s="37">
        <f t="shared" si="3"/>
        <v>65</v>
      </c>
      <c r="M8" s="37">
        <f t="shared" si="3"/>
        <v>731443782</v>
      </c>
      <c r="N8" s="37">
        <f>VLOOKUP(B8,Población!$A$6:$B$21,2,0)</f>
        <v>757586</v>
      </c>
      <c r="O8" s="35">
        <f t="shared" si="0"/>
        <v>965.49273877817177</v>
      </c>
      <c r="P8" s="38">
        <f t="shared" si="1"/>
        <v>0.64436815473495113</v>
      </c>
      <c r="Q8" s="38">
        <f t="shared" si="2"/>
        <v>8.0679914713803064E-2</v>
      </c>
      <c r="R8" s="36">
        <v>1</v>
      </c>
      <c r="S8" s="38">
        <f t="shared" si="4"/>
        <v>8.0679914713803064E-2</v>
      </c>
      <c r="T8" s="38">
        <f t="shared" si="5"/>
        <v>8.0679914713803064E-2</v>
      </c>
    </row>
    <row r="9" spans="1:20" x14ac:dyDescent="0.25">
      <c r="A9" s="35" t="s">
        <v>64</v>
      </c>
      <c r="B9" s="36">
        <v>5</v>
      </c>
      <c r="C9" s="36" t="s">
        <v>86</v>
      </c>
      <c r="D9" s="37">
        <f>IFERROR(VLOOKUP(A9,'19.11'!$A$7:$C$23,2,0),0)</f>
        <v>85</v>
      </c>
      <c r="E9" s="37">
        <f>IFERROR(VLOOKUP(A9,'19.11'!$A$7:$C$23,3,0),0)</f>
        <v>727436807</v>
      </c>
      <c r="F9" s="37">
        <f>IFERROR(VLOOKUP(A9,'19.12'!$A$7:$C$23,2,0),0)</f>
        <v>153</v>
      </c>
      <c r="G9" s="37">
        <f>IFERROR(VLOOKUP(A9,'19.12'!$A$7:$C$23,3,0),0)</f>
        <v>1135544018</v>
      </c>
      <c r="H9" s="37">
        <f>IFERROR(VLOOKUP(A9,'19.13'!$A$7:$C$23,2,0),0)</f>
        <v>55</v>
      </c>
      <c r="I9" s="37">
        <f>IFERROR(VLOOKUP(A9,'19.13'!$A$7:$C$23,3,0),0)</f>
        <v>1602943697</v>
      </c>
      <c r="J9" s="37">
        <f>IFERROR(VLOOKUP(A9,'19.9'!$A$7:$C$23,2,0),0)</f>
        <v>65</v>
      </c>
      <c r="K9" s="37">
        <f>IFERROR(VLOOKUP(A9,'19.9'!$A$7:$C$23,3,0),0)</f>
        <v>691134744</v>
      </c>
      <c r="L9" s="37">
        <f t="shared" si="3"/>
        <v>358</v>
      </c>
      <c r="M9" s="37">
        <f t="shared" si="3"/>
        <v>4157059266</v>
      </c>
      <c r="N9" s="37">
        <f>VLOOKUP(B9,Población!$A$6:$B$21,2,0)</f>
        <v>1815902</v>
      </c>
      <c r="O9" s="35">
        <f t="shared" si="0"/>
        <v>2289.253090750492</v>
      </c>
      <c r="P9" s="38">
        <f t="shared" si="1"/>
        <v>0.27176233899613489</v>
      </c>
      <c r="Q9" s="38">
        <f t="shared" si="2"/>
        <v>3.402676276212091E-2</v>
      </c>
      <c r="R9" s="36">
        <v>2</v>
      </c>
      <c r="S9" s="38">
        <f t="shared" si="4"/>
        <v>1.7013381381060455E-2</v>
      </c>
      <c r="T9" s="38">
        <f t="shared" si="5"/>
        <v>3.402676276212091E-2</v>
      </c>
    </row>
    <row r="10" spans="1:20" x14ac:dyDescent="0.25">
      <c r="A10" s="35" t="s">
        <v>61</v>
      </c>
      <c r="B10" s="36">
        <v>13</v>
      </c>
      <c r="C10" s="36" t="s">
        <v>86</v>
      </c>
      <c r="D10" s="37">
        <f>IFERROR(VLOOKUP(A10,'19.11'!$A$7:$C$23,2,0),0)</f>
        <v>207</v>
      </c>
      <c r="E10" s="37">
        <f>IFERROR(VLOOKUP(A10,'19.11'!$A$7:$C$23,3,0),0)</f>
        <v>1594598178.6900001</v>
      </c>
      <c r="F10" s="37">
        <f>IFERROR(VLOOKUP(A10,'19.12'!$A$7:$C$23,2,0),0)</f>
        <v>282</v>
      </c>
      <c r="G10" s="37">
        <f>IFERROR(VLOOKUP(A10,'19.12'!$A$7:$C$23,3,0),0)</f>
        <v>2022281155.1500001</v>
      </c>
      <c r="H10" s="37">
        <f>IFERROR(VLOOKUP(A10,'19.13'!$A$7:$C$23,2,0),0)</f>
        <v>295</v>
      </c>
      <c r="I10" s="37">
        <f>IFERROR(VLOOKUP(A10,'19.13'!$A$7:$C$23,3,0),0)</f>
        <v>5727425703</v>
      </c>
      <c r="J10" s="37">
        <f>IFERROR(VLOOKUP(A10,'19.9'!$A$7:$C$23,2,0),0)</f>
        <v>207</v>
      </c>
      <c r="K10" s="37">
        <f>IFERROR(VLOOKUP(A10,'19.9'!$A$7:$C$23,3,0),0)</f>
        <v>2563378929</v>
      </c>
      <c r="L10" s="37">
        <f t="shared" si="3"/>
        <v>991</v>
      </c>
      <c r="M10" s="37">
        <f t="shared" si="3"/>
        <v>11907683965.84</v>
      </c>
      <c r="N10" s="37">
        <f>VLOOKUP(B10,Población!$A$6:$B$21,2,0)</f>
        <v>7112808</v>
      </c>
      <c r="O10" s="35">
        <f t="shared" si="0"/>
        <v>1674.1185711522089</v>
      </c>
      <c r="P10" s="38">
        <f t="shared" si="1"/>
        <v>0.3716181071143026</v>
      </c>
      <c r="Q10" s="38">
        <f t="shared" si="2"/>
        <v>4.6529483134403887E-2</v>
      </c>
      <c r="R10" s="36">
        <v>3</v>
      </c>
      <c r="S10" s="38">
        <f t="shared" si="4"/>
        <v>1.5509827711467963E-2</v>
      </c>
      <c r="T10" s="38">
        <f t="shared" si="5"/>
        <v>4.6529483134403887E-2</v>
      </c>
    </row>
    <row r="11" spans="1:20" x14ac:dyDescent="0.25">
      <c r="A11" s="35" t="s">
        <v>65</v>
      </c>
      <c r="B11" s="36">
        <v>6</v>
      </c>
      <c r="C11" s="36" t="s">
        <v>86</v>
      </c>
      <c r="D11" s="37">
        <f>IFERROR(VLOOKUP(A11,'19.11'!$A$7:$C$23,2,0),0)</f>
        <v>12</v>
      </c>
      <c r="E11" s="37">
        <f>IFERROR(VLOOKUP(A11,'19.11'!$A$7:$C$23,3,0),0)</f>
        <v>227492747.30000001</v>
      </c>
      <c r="F11" s="37">
        <f>IFERROR(VLOOKUP(A11,'19.12'!$A$7:$C$23,2,0),0)</f>
        <v>20</v>
      </c>
      <c r="G11" s="37">
        <f>IFERROR(VLOOKUP(A11,'19.12'!$A$7:$C$23,3,0),0)</f>
        <v>189501344</v>
      </c>
      <c r="H11" s="37">
        <f>IFERROR(VLOOKUP(A11,'19.13'!$A$7:$C$23,2,0),0)</f>
        <v>8</v>
      </c>
      <c r="I11" s="37">
        <f>IFERROR(VLOOKUP(A11,'19.13'!$A$7:$C$23,3,0),0)</f>
        <v>129933438</v>
      </c>
      <c r="J11" s="37">
        <f>IFERROR(VLOOKUP(A11,'19.9'!$A$7:$C$23,2,0),0)</f>
        <v>14</v>
      </c>
      <c r="K11" s="37">
        <f>IFERROR(VLOOKUP(A11,'19.9'!$A$7:$C$23,3,0),0)</f>
        <v>217559799</v>
      </c>
      <c r="L11" s="37">
        <f t="shared" si="3"/>
        <v>54</v>
      </c>
      <c r="M11" s="37">
        <f t="shared" si="3"/>
        <v>764487328.29999995</v>
      </c>
      <c r="N11" s="37">
        <f>VLOOKUP(B11,Población!$A$6:$B$21,2,0)</f>
        <v>914555</v>
      </c>
      <c r="O11" s="35">
        <f t="shared" si="0"/>
        <v>835.91181317690018</v>
      </c>
      <c r="P11" s="38">
        <f t="shared" si="1"/>
        <v>0.74425646903117237</v>
      </c>
      <c r="Q11" s="38">
        <f t="shared" si="2"/>
        <v>9.318671012121979E-2</v>
      </c>
      <c r="R11" s="36">
        <v>1</v>
      </c>
      <c r="S11" s="38">
        <f t="shared" si="4"/>
        <v>9.318671012121979E-2</v>
      </c>
      <c r="T11" s="38">
        <f t="shared" si="5"/>
        <v>9.318671012121979E-2</v>
      </c>
    </row>
    <row r="12" spans="1:20" x14ac:dyDescent="0.25">
      <c r="A12" s="35" t="s">
        <v>57</v>
      </c>
      <c r="B12" s="36">
        <v>7</v>
      </c>
      <c r="C12" s="36" t="s">
        <v>86</v>
      </c>
      <c r="D12" s="37">
        <f>IFERROR(VLOOKUP(A12,'19.11'!$A$7:$C$23,2,0),0)</f>
        <v>19</v>
      </c>
      <c r="E12" s="37">
        <f>IFERROR(VLOOKUP(A12,'19.11'!$A$7:$C$23,3,0),0)</f>
        <v>187890002</v>
      </c>
      <c r="F12" s="37">
        <f>IFERROR(VLOOKUP(A12,'19.12'!$A$7:$C$23,2,0),0)</f>
        <v>14</v>
      </c>
      <c r="G12" s="37">
        <f>IFERROR(VLOOKUP(A12,'19.12'!$A$7:$C$23,3,0),0)</f>
        <v>164396556</v>
      </c>
      <c r="H12" s="37">
        <f>IFERROR(VLOOKUP(A12,'19.13'!$A$7:$C$23,2,0),0)</f>
        <v>16</v>
      </c>
      <c r="I12" s="37">
        <f>IFERROR(VLOOKUP(A12,'19.13'!$A$7:$C$23,3,0),0)</f>
        <v>236161157</v>
      </c>
      <c r="J12" s="37">
        <f>IFERROR(VLOOKUP(A12,'19.9'!$A$7:$C$23,2,0),0)</f>
        <v>13</v>
      </c>
      <c r="K12" s="37">
        <f>IFERROR(VLOOKUP(A12,'19.9'!$A$7:$C$23,3,0),0)</f>
        <v>161184493</v>
      </c>
      <c r="L12" s="37">
        <f t="shared" si="3"/>
        <v>62</v>
      </c>
      <c r="M12" s="37">
        <f t="shared" si="3"/>
        <v>749632208</v>
      </c>
      <c r="N12" s="37">
        <f>VLOOKUP(B12,Población!$A$6:$B$21,2,0)</f>
        <v>1044950</v>
      </c>
      <c r="O12" s="35">
        <f t="shared" si="0"/>
        <v>717.38571989090383</v>
      </c>
      <c r="P12" s="38">
        <f t="shared" si="1"/>
        <v>0.86722213343066734</v>
      </c>
      <c r="Q12" s="38">
        <f t="shared" si="2"/>
        <v>0.10858296960980074</v>
      </c>
      <c r="R12" s="36">
        <v>1</v>
      </c>
      <c r="S12" s="38">
        <f t="shared" si="4"/>
        <v>0.10858296960980074</v>
      </c>
      <c r="T12" s="38">
        <f t="shared" si="5"/>
        <v>0.10858296960980074</v>
      </c>
    </row>
    <row r="13" spans="1:20" x14ac:dyDescent="0.25">
      <c r="A13" s="82" t="s">
        <v>87</v>
      </c>
      <c r="B13" s="83">
        <v>16</v>
      </c>
      <c r="C13" s="83" t="s">
        <v>88</v>
      </c>
      <c r="D13" s="84">
        <f>IFERROR(VLOOKUP(A13,'19.11'!$A$7:$C$23,2,0),0)</f>
        <v>9</v>
      </c>
      <c r="E13" s="84">
        <f>IFERROR(VLOOKUP(A13,'19.11'!$A$7:$C$23,3,0),0)</f>
        <v>46130738.200000003</v>
      </c>
      <c r="F13" s="84">
        <f>IFERROR(VLOOKUP(A13,'19.12'!$A$7:$C$23,2,0),0)</f>
        <v>8</v>
      </c>
      <c r="G13" s="84">
        <f>IFERROR(VLOOKUP(A13,'19.12'!$A$7:$C$23,3,0),0)</f>
        <v>82811918</v>
      </c>
      <c r="H13" s="84">
        <f>IFERROR(VLOOKUP(A13,'19.13'!$A$7:$C$23,2,0),0)</f>
        <v>5</v>
      </c>
      <c r="I13" s="84">
        <f>IFERROR(VLOOKUP(A13,'19.13'!$A$7:$C$23,3,0),0)</f>
        <v>80382000</v>
      </c>
      <c r="J13" s="84">
        <f>IFERROR(VLOOKUP(A13,'19.9'!$A$7:$C$23,2,0),0)</f>
        <v>7</v>
      </c>
      <c r="K13" s="84">
        <f>IFERROR(VLOOKUP(A13,'19.9'!$A$7:$C$23,3,0),0)</f>
        <v>107764621</v>
      </c>
      <c r="L13" s="84">
        <f t="shared" si="3"/>
        <v>29</v>
      </c>
      <c r="M13" s="84">
        <f t="shared" si="3"/>
        <v>317089277.19999999</v>
      </c>
      <c r="N13" s="84">
        <f>VLOOKUP(B13,Población!$A$6:$B$21,2,0)</f>
        <v>480609</v>
      </c>
      <c r="O13" s="82">
        <f t="shared" si="0"/>
        <v>0</v>
      </c>
      <c r="P13" s="85">
        <f t="shared" si="1"/>
        <v>0</v>
      </c>
      <c r="Q13" s="85">
        <f t="shared" si="2"/>
        <v>0</v>
      </c>
      <c r="R13" s="83">
        <v>0</v>
      </c>
      <c r="S13" s="85">
        <f t="shared" si="4"/>
        <v>0</v>
      </c>
      <c r="T13" s="85">
        <f t="shared" si="5"/>
        <v>0</v>
      </c>
    </row>
    <row r="14" spans="1:20" x14ac:dyDescent="0.25">
      <c r="A14" s="35" t="s">
        <v>89</v>
      </c>
      <c r="B14" s="36">
        <v>8</v>
      </c>
      <c r="C14" s="36" t="s">
        <v>86</v>
      </c>
      <c r="D14" s="37">
        <f>IFERROR(VLOOKUP(A14,'19.11'!$A$7:$C$23,2,0),0)</f>
        <v>24</v>
      </c>
      <c r="E14" s="37">
        <f>IFERROR(VLOOKUP(A14,'19.11'!$A$7:$C$23,3,0),0)</f>
        <v>197264426</v>
      </c>
      <c r="F14" s="37">
        <f>IFERROR(VLOOKUP(A14,'19.12'!$A$7:$C$23,2,0),0)</f>
        <v>25</v>
      </c>
      <c r="G14" s="37">
        <f>IFERROR(VLOOKUP(A14,'19.12'!$A$7:$C$23,3,0),0)</f>
        <v>256137738</v>
      </c>
      <c r="H14" s="37">
        <f>IFERROR(VLOOKUP(A14,'19.13'!$A$7:$C$23,2,0),0)</f>
        <v>13</v>
      </c>
      <c r="I14" s="37">
        <f>IFERROR(VLOOKUP(A14,'19.13'!$A$7:$C$23,3,0),0)</f>
        <v>214010268</v>
      </c>
      <c r="J14" s="37">
        <f>IFERROR(VLOOKUP(A14,'19.9'!$A$7:$C$23,2,0),0)</f>
        <v>28</v>
      </c>
      <c r="K14" s="37">
        <f>IFERROR(VLOOKUP(A14,'19.9'!$A$7:$C$23,3,0),0)</f>
        <v>301126982</v>
      </c>
      <c r="L14" s="37">
        <f>D14+F14+H14+J14</f>
        <v>90</v>
      </c>
      <c r="M14" s="37">
        <f t="shared" si="3"/>
        <v>968539414</v>
      </c>
      <c r="N14" s="37">
        <f>VLOOKUP(B14,Población!$A$6:$B$21,2,0)</f>
        <v>1556805</v>
      </c>
      <c r="O14" s="35">
        <f t="shared" si="0"/>
        <v>622.13277449648479</v>
      </c>
      <c r="P14" s="38">
        <f t="shared" si="1"/>
        <v>1</v>
      </c>
      <c r="Q14" s="38">
        <f t="shared" si="2"/>
        <v>0.1252077932792772</v>
      </c>
      <c r="R14" s="36">
        <v>1</v>
      </c>
      <c r="S14" s="38">
        <f t="shared" si="4"/>
        <v>0.1252077932792772</v>
      </c>
      <c r="T14" s="38">
        <f t="shared" si="5"/>
        <v>0.1252077932792772</v>
      </c>
    </row>
    <row r="15" spans="1:20" x14ac:dyDescent="0.25">
      <c r="A15" s="35" t="s">
        <v>90</v>
      </c>
      <c r="B15" s="36">
        <v>9</v>
      </c>
      <c r="C15" s="36" t="s">
        <v>86</v>
      </c>
      <c r="D15" s="37">
        <f>IFERROR(VLOOKUP(A15,'19.11'!$A$7:$C$23,2,0),0)</f>
        <v>16</v>
      </c>
      <c r="E15" s="37">
        <f>IFERROR(VLOOKUP(A15,'19.11'!$A$7:$C$23,3,0),0)</f>
        <v>101468384</v>
      </c>
      <c r="F15" s="37">
        <f>IFERROR(VLOOKUP(A15,'19.12'!$A$7:$C$23,2,0),0)</f>
        <v>22</v>
      </c>
      <c r="G15" s="37">
        <f>IFERROR(VLOOKUP(A15,'19.12'!$A$7:$C$23,3,0),0)</f>
        <v>236993585</v>
      </c>
      <c r="H15" s="37">
        <f>IFERROR(VLOOKUP(A15,'19.13'!$A$7:$C$23,2,0),0)</f>
        <v>13</v>
      </c>
      <c r="I15" s="37">
        <f>IFERROR(VLOOKUP(A15,'19.13'!$A$7:$C$23,3,0),0)</f>
        <v>151219858</v>
      </c>
      <c r="J15" s="37">
        <f>IFERROR(VLOOKUP(A15,'19.9'!$A$7:$C$23,2,0),0)</f>
        <v>15</v>
      </c>
      <c r="K15" s="37">
        <f>IFERROR(VLOOKUP(A15,'19.9'!$A$7:$C$23,3,0),0)</f>
        <v>182712054</v>
      </c>
      <c r="L15" s="37">
        <f t="shared" si="3"/>
        <v>66</v>
      </c>
      <c r="M15" s="37">
        <f t="shared" si="3"/>
        <v>672393881</v>
      </c>
      <c r="N15" s="37">
        <f>VLOOKUP(B15,Población!$A$6:$B$21,2,0)</f>
        <v>957224</v>
      </c>
      <c r="O15" s="35">
        <f t="shared" si="0"/>
        <v>702.44151943536724</v>
      </c>
      <c r="P15" s="38">
        <f t="shared" si="1"/>
        <v>0.88567198447575279</v>
      </c>
      <c r="Q15" s="38">
        <f t="shared" si="2"/>
        <v>0.11089303474548726</v>
      </c>
      <c r="R15" s="36">
        <v>1</v>
      </c>
      <c r="S15" s="38">
        <f t="shared" si="4"/>
        <v>0.11089303474548726</v>
      </c>
      <c r="T15" s="38">
        <f t="shared" si="5"/>
        <v>0.11089303474548726</v>
      </c>
    </row>
    <row r="16" spans="1:20" x14ac:dyDescent="0.25">
      <c r="A16" s="82" t="s">
        <v>94</v>
      </c>
      <c r="B16" s="83">
        <v>14</v>
      </c>
      <c r="C16" s="83" t="s">
        <v>88</v>
      </c>
      <c r="D16" s="84">
        <f>IFERROR(VLOOKUP(A16,'19.11'!$A$7:$C$23,2,0),0)</f>
        <v>32</v>
      </c>
      <c r="E16" s="84">
        <f>IFERROR(VLOOKUP(A16,'19.11'!$A$7:$C$23,3,0),0)</f>
        <v>280201496.80000001</v>
      </c>
      <c r="F16" s="84">
        <f>IFERROR(VLOOKUP(A16,'19.12'!$A$7:$C$23,2,0),0)</f>
        <v>37</v>
      </c>
      <c r="G16" s="84">
        <f>IFERROR(VLOOKUP(A16,'19.12'!$A$7:$C$23,3,0),0)</f>
        <v>444100234</v>
      </c>
      <c r="H16" s="84">
        <f>IFERROR(VLOOKUP(A16,'19.13'!$A$7:$C$23,2,0),0)</f>
        <v>11</v>
      </c>
      <c r="I16" s="84">
        <f>IFERROR(VLOOKUP(A16,'19.13'!$A$7:$C$23,3,0),0)</f>
        <v>489859456</v>
      </c>
      <c r="J16" s="84">
        <f>IFERROR(VLOOKUP(A16,'19.9'!$A$7:$C$23,2,0),0)</f>
        <v>23</v>
      </c>
      <c r="K16" s="84">
        <f>IFERROR(VLOOKUP(A16,'19.9'!$A$7:$C$23,3,0),0)</f>
        <v>360248906</v>
      </c>
      <c r="L16" s="84">
        <f t="shared" si="3"/>
        <v>103</v>
      </c>
      <c r="M16" s="84">
        <f t="shared" si="3"/>
        <v>1574410092.8</v>
      </c>
      <c r="N16" s="84">
        <f>VLOOKUP(B16,Población!$A$6:$B$21,2,0)</f>
        <v>384837</v>
      </c>
      <c r="O16" s="82">
        <f t="shared" si="0"/>
        <v>0</v>
      </c>
      <c r="P16" s="85">
        <f t="shared" si="1"/>
        <v>0</v>
      </c>
      <c r="Q16" s="85">
        <f t="shared" si="2"/>
        <v>0</v>
      </c>
      <c r="R16" s="83">
        <v>0</v>
      </c>
      <c r="S16" s="85">
        <f t="shared" si="4"/>
        <v>0</v>
      </c>
      <c r="T16" s="85">
        <f t="shared" si="5"/>
        <v>0</v>
      </c>
    </row>
    <row r="17" spans="1:20" x14ac:dyDescent="0.25">
      <c r="A17" s="35" t="s">
        <v>66</v>
      </c>
      <c r="B17" s="36">
        <v>10</v>
      </c>
      <c r="C17" s="36" t="s">
        <v>86</v>
      </c>
      <c r="D17" s="37">
        <f>IFERROR(VLOOKUP(A17,'19.11'!$A$7:$C$23,2,0),0)</f>
        <v>30</v>
      </c>
      <c r="E17" s="37">
        <f>IFERROR(VLOOKUP(A17,'19.11'!$A$7:$C$23,3,0),0)</f>
        <v>212216297</v>
      </c>
      <c r="F17" s="37">
        <f>IFERROR(VLOOKUP(A17,'19.12'!$A$7:$C$23,2,0),0)</f>
        <v>43</v>
      </c>
      <c r="G17" s="37">
        <f>IFERROR(VLOOKUP(A17,'19.12'!$A$7:$C$23,3,0),0)</f>
        <v>488849959</v>
      </c>
      <c r="H17" s="37">
        <f>IFERROR(VLOOKUP(A17,'19.13'!$A$7:$C$23,2,0),0)</f>
        <v>11</v>
      </c>
      <c r="I17" s="37">
        <f>IFERROR(VLOOKUP(A17,'19.13'!$A$7:$C$23,3,0),0)</f>
        <v>272347036</v>
      </c>
      <c r="J17" s="37">
        <f>IFERROR(VLOOKUP(A17,'19.9'!$A$7:$C$23,2,0),0)</f>
        <v>23</v>
      </c>
      <c r="K17" s="37">
        <f>IFERROR(VLOOKUP(A17,'19.9'!$A$7:$C$23,3,0),0)</f>
        <v>326746138</v>
      </c>
      <c r="L17" s="37">
        <f t="shared" si="3"/>
        <v>107</v>
      </c>
      <c r="M17" s="37">
        <f t="shared" si="3"/>
        <v>1300159430</v>
      </c>
      <c r="N17" s="37">
        <f>VLOOKUP(B17,Población!$A$6:$B$21,2,0)</f>
        <v>828708</v>
      </c>
      <c r="O17" s="35">
        <f t="shared" si="0"/>
        <v>1568.8993348682527</v>
      </c>
      <c r="P17" s="38">
        <f t="shared" si="1"/>
        <v>0.39654091289976101</v>
      </c>
      <c r="Q17" s="38">
        <f t="shared" si="2"/>
        <v>4.965001264912914E-2</v>
      </c>
      <c r="R17" s="36">
        <v>1</v>
      </c>
      <c r="S17" s="38">
        <f t="shared" si="4"/>
        <v>4.965001264912914E-2</v>
      </c>
      <c r="T17" s="38">
        <f t="shared" si="5"/>
        <v>4.965001264912914E-2</v>
      </c>
    </row>
    <row r="18" spans="1:20" x14ac:dyDescent="0.25">
      <c r="A18" s="35" t="s">
        <v>70</v>
      </c>
      <c r="B18" s="36">
        <v>11</v>
      </c>
      <c r="C18" s="36" t="s">
        <v>86</v>
      </c>
      <c r="D18" s="37">
        <f>IFERROR(VLOOKUP(A18,'19.11'!$A$7:$C$23,2,0),0)</f>
        <v>6</v>
      </c>
      <c r="E18" s="37">
        <f>IFERROR(VLOOKUP(A18,'19.11'!$A$7:$C$23,3,0),0)</f>
        <v>80038302</v>
      </c>
      <c r="F18" s="37">
        <f>IFERROR(VLOOKUP(A18,'19.12'!$A$7:$C$23,2,0),0)</f>
        <v>3</v>
      </c>
      <c r="G18" s="37">
        <f>IFERROR(VLOOKUP(A18,'19.12'!$A$7:$C$23,3,0),0)</f>
        <v>17731607</v>
      </c>
      <c r="H18" s="37">
        <f>IFERROR(VLOOKUP(A18,'19.13'!$A$7:$C$23,2,0),0)</f>
        <v>2</v>
      </c>
      <c r="I18" s="37">
        <f>IFERROR(VLOOKUP(A18,'19.13'!$A$7:$C$23,3,0),0)</f>
        <v>37986795</v>
      </c>
      <c r="J18" s="37">
        <f>IFERROR(VLOOKUP(A18,'19.9'!$A$7:$C$23,2,0),0)</f>
        <v>6</v>
      </c>
      <c r="K18" s="37">
        <f>IFERROR(VLOOKUP(A18,'19.9'!$A$7:$C$23,3,0),0)</f>
        <v>83573529</v>
      </c>
      <c r="L18" s="37">
        <f t="shared" si="3"/>
        <v>17</v>
      </c>
      <c r="M18" s="37">
        <f t="shared" si="3"/>
        <v>219330233</v>
      </c>
      <c r="N18" s="37">
        <f>VLOOKUP(B18,Población!$A$6:$B$21,2,0)</f>
        <v>103158</v>
      </c>
      <c r="O18" s="35">
        <f t="shared" si="0"/>
        <v>2126.1582523895386</v>
      </c>
      <c r="P18" s="38">
        <f t="shared" si="1"/>
        <v>0.29260887509068745</v>
      </c>
      <c r="Q18" s="38">
        <f t="shared" si="2"/>
        <v>3.6636911544036636E-2</v>
      </c>
      <c r="R18" s="36">
        <v>1</v>
      </c>
      <c r="S18" s="38">
        <f t="shared" si="4"/>
        <v>3.6636911544036636E-2</v>
      </c>
      <c r="T18" s="38">
        <f t="shared" si="5"/>
        <v>3.6636911544036636E-2</v>
      </c>
    </row>
    <row r="19" spans="1:20" x14ac:dyDescent="0.25">
      <c r="A19" s="35" t="s">
        <v>69</v>
      </c>
      <c r="B19" s="36">
        <v>12</v>
      </c>
      <c r="C19" s="36" t="s">
        <v>86</v>
      </c>
      <c r="D19" s="37">
        <f>IFERROR(VLOOKUP(A19,'19.11'!$A$7:$C$23,2,0),0)</f>
        <v>6</v>
      </c>
      <c r="E19" s="37">
        <f>IFERROR(VLOOKUP(A19,'19.11'!$A$7:$C$23,3,0),0)</f>
        <v>28883004</v>
      </c>
      <c r="F19" s="37">
        <f>IFERROR(VLOOKUP(A19,'19.12'!$A$7:$C$23,2,0),0)</f>
        <v>5</v>
      </c>
      <c r="G19" s="37">
        <f>IFERROR(VLOOKUP(A19,'19.12'!$A$7:$C$23,3,0),0)</f>
        <v>78421552</v>
      </c>
      <c r="H19" s="37">
        <f>IFERROR(VLOOKUP(A19,'19.13'!$A$7:$C$23,2,0),0)</f>
        <v>1</v>
      </c>
      <c r="I19" s="37">
        <f>IFERROR(VLOOKUP(A19,'19.13'!$A$7:$C$23,3,0),0)</f>
        <v>7870000</v>
      </c>
      <c r="J19" s="37">
        <f>IFERROR(VLOOKUP(A19,'19.9'!$A$7:$C$23,2,0),0)</f>
        <v>10</v>
      </c>
      <c r="K19" s="37">
        <f>IFERROR(VLOOKUP(A19,'19.9'!$A$7:$C$23,3,0),0)</f>
        <v>126179818</v>
      </c>
      <c r="L19" s="37">
        <f t="shared" si="3"/>
        <v>22</v>
      </c>
      <c r="M19" s="37">
        <f t="shared" si="3"/>
        <v>241354374</v>
      </c>
      <c r="N19" s="37">
        <f>VLOOKUP(B19,Población!$A$6:$B$21,2,0)</f>
        <v>166533</v>
      </c>
      <c r="O19" s="35">
        <f t="shared" si="0"/>
        <v>1449.2885734358956</v>
      </c>
      <c r="P19" s="38">
        <f t="shared" si="1"/>
        <v>0.42926770133953779</v>
      </c>
      <c r="Q19" s="38">
        <f t="shared" si="2"/>
        <v>5.374766161079135E-2</v>
      </c>
      <c r="R19" s="36">
        <v>1</v>
      </c>
      <c r="S19" s="38">
        <f t="shared" si="4"/>
        <v>5.374766161079135E-2</v>
      </c>
      <c r="T19" s="38">
        <f t="shared" si="5"/>
        <v>5.374766161079135E-2</v>
      </c>
    </row>
    <row r="20" spans="1:20" x14ac:dyDescent="0.25">
      <c r="A20" s="39" t="s">
        <v>91</v>
      </c>
      <c r="B20" s="30"/>
      <c r="C20" s="30"/>
      <c r="D20" s="40">
        <f>SUM(D4:D19)</f>
        <v>494</v>
      </c>
      <c r="E20" s="40">
        <f t="shared" ref="E20:R20" si="6">SUM(E4:E19)</f>
        <v>4329596404.9899998</v>
      </c>
      <c r="F20" s="40">
        <f t="shared" si="6"/>
        <v>665</v>
      </c>
      <c r="G20" s="40">
        <f t="shared" si="6"/>
        <v>5741777151.1499996</v>
      </c>
      <c r="H20" s="40">
        <f t="shared" si="6"/>
        <v>456</v>
      </c>
      <c r="I20" s="40">
        <f t="shared" si="6"/>
        <v>9644299912</v>
      </c>
      <c r="J20" s="40">
        <f>SUM(J4:J19)</f>
        <v>450</v>
      </c>
      <c r="K20" s="40">
        <f t="shared" si="6"/>
        <v>5605410657</v>
      </c>
      <c r="L20" s="40">
        <f t="shared" si="6"/>
        <v>2065</v>
      </c>
      <c r="M20" s="40">
        <f t="shared" si="6"/>
        <v>25321084125.139999</v>
      </c>
      <c r="N20" s="40">
        <f t="shared" si="6"/>
        <v>17574003</v>
      </c>
      <c r="O20" s="62">
        <f t="shared" si="6"/>
        <v>18317.376540100911</v>
      </c>
      <c r="P20" s="41">
        <f t="shared" si="6"/>
        <v>7.9867233005975145</v>
      </c>
      <c r="Q20" s="41">
        <f t="shared" si="6"/>
        <v>1</v>
      </c>
      <c r="R20" s="40">
        <f t="shared" si="6"/>
        <v>17</v>
      </c>
      <c r="S20" s="42"/>
      <c r="T20" s="42">
        <f>SUM(T4:T19)</f>
        <v>1</v>
      </c>
    </row>
    <row r="21" spans="1:20" x14ac:dyDescent="0.25">
      <c r="A21" s="30"/>
      <c r="B21" s="30"/>
      <c r="C21" s="30"/>
      <c r="D21" s="30"/>
      <c r="E21" s="30"/>
      <c r="F21" s="30"/>
      <c r="G21" s="30"/>
      <c r="H21" s="30"/>
      <c r="I21" s="30"/>
      <c r="J21" s="30"/>
      <c r="K21" s="30"/>
      <c r="L21" s="30"/>
      <c r="M21" s="30"/>
      <c r="N21" s="30"/>
      <c r="O21" s="30"/>
      <c r="P21" s="30"/>
      <c r="Q21" s="30"/>
      <c r="R21" s="30"/>
      <c r="S21" s="30"/>
    </row>
    <row r="22" spans="1:20" x14ac:dyDescent="0.25">
      <c r="A22" s="30"/>
      <c r="B22" s="30"/>
      <c r="C22" s="30"/>
      <c r="D22" s="30"/>
      <c r="E22" s="30"/>
      <c r="F22" s="30"/>
      <c r="G22" s="30"/>
      <c r="H22" s="30"/>
      <c r="I22" s="30"/>
      <c r="J22" s="30"/>
      <c r="K22" s="30"/>
      <c r="L22" s="30"/>
      <c r="M22" s="30"/>
      <c r="N22" s="43" t="s">
        <v>92</v>
      </c>
      <c r="O22" s="43">
        <f>MIN(O4:O12,O14:O15,O17:O19)</f>
        <v>622.13277449648479</v>
      </c>
      <c r="P22" s="30"/>
      <c r="Q22" s="30"/>
      <c r="R22" s="30"/>
      <c r="S22" s="30"/>
    </row>
    <row r="23" spans="1:20" x14ac:dyDescent="0.25">
      <c r="A23" s="30"/>
      <c r="B23" s="30">
        <v>1</v>
      </c>
      <c r="C23" s="30">
        <v>2</v>
      </c>
      <c r="D23" s="30">
        <v>3</v>
      </c>
      <c r="E23" s="30">
        <v>4</v>
      </c>
      <c r="F23" s="30">
        <v>5</v>
      </c>
      <c r="G23" s="30">
        <v>6</v>
      </c>
      <c r="H23" s="30">
        <v>7</v>
      </c>
      <c r="I23" s="30">
        <v>8</v>
      </c>
      <c r="J23" s="30">
        <v>9</v>
      </c>
      <c r="K23" s="30">
        <v>10</v>
      </c>
      <c r="L23" s="30">
        <v>11</v>
      </c>
      <c r="M23" s="30">
        <v>12</v>
      </c>
      <c r="N23" s="30">
        <v>13</v>
      </c>
      <c r="O23" s="30">
        <v>14</v>
      </c>
      <c r="P23" s="30">
        <v>15</v>
      </c>
      <c r="Q23" s="30">
        <v>16</v>
      </c>
      <c r="R23" s="30">
        <v>17</v>
      </c>
      <c r="S23" s="30">
        <v>18</v>
      </c>
    </row>
  </sheetData>
  <mergeCells count="9">
    <mergeCell ref="L2:M2"/>
    <mergeCell ref="D1:E1"/>
    <mergeCell ref="F1:G1"/>
    <mergeCell ref="H1:I1"/>
    <mergeCell ref="J1:K1"/>
    <mergeCell ref="D2:E2"/>
    <mergeCell ref="F2:G2"/>
    <mergeCell ref="H2:I2"/>
    <mergeCell ref="J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1A6F-3B98-4E54-952B-237618DCF876}">
  <sheetPr>
    <tabColor rgb="FF92D050"/>
  </sheetPr>
  <dimension ref="A2:I27"/>
  <sheetViews>
    <sheetView workbookViewId="0">
      <selection activeCell="A21" sqref="A21"/>
    </sheetView>
  </sheetViews>
  <sheetFormatPr baseColWidth="10" defaultColWidth="9.140625" defaultRowHeight="10.5" x14ac:dyDescent="0.25"/>
  <cols>
    <col min="1" max="1" width="25.28515625" style="51" customWidth="1"/>
    <col min="2" max="2" width="10.7109375" style="51" customWidth="1"/>
    <col min="3" max="3" width="21.42578125" style="51" customWidth="1"/>
    <col min="4" max="4" width="10.7109375" style="51" customWidth="1"/>
    <col min="5" max="5" width="21.42578125" style="51" customWidth="1"/>
    <col min="6" max="6" width="10.7109375" style="51" customWidth="1"/>
    <col min="7" max="7" width="21.42578125" style="51" customWidth="1"/>
    <col min="8" max="8" width="10.7109375" style="51" customWidth="1"/>
    <col min="9" max="9" width="21.42578125" style="51" customWidth="1"/>
    <col min="10" max="16384" width="9.140625" style="51"/>
  </cols>
  <sheetData>
    <row r="2" spans="1:9" ht="11.25" x14ac:dyDescent="0.25">
      <c r="A2" s="86" t="s">
        <v>113</v>
      </c>
      <c r="B2" s="75"/>
      <c r="C2" s="75"/>
      <c r="D2" s="75"/>
      <c r="E2" s="75"/>
      <c r="F2" s="75"/>
      <c r="G2" s="75"/>
      <c r="H2" s="75"/>
      <c r="I2" s="75"/>
    </row>
    <row r="3" spans="1:9" x14ac:dyDescent="0.25">
      <c r="A3" s="76"/>
    </row>
    <row r="4" spans="1:9" ht="31.5" customHeight="1" x14ac:dyDescent="0.25">
      <c r="A4" s="79" t="s">
        <v>114</v>
      </c>
      <c r="B4" s="96" t="s">
        <v>9</v>
      </c>
      <c r="C4" s="97"/>
      <c r="D4" s="98" t="s">
        <v>115</v>
      </c>
      <c r="E4" s="99"/>
      <c r="F4" s="100" t="s">
        <v>116</v>
      </c>
      <c r="G4" s="101"/>
      <c r="H4" s="102" t="s">
        <v>117</v>
      </c>
      <c r="I4" s="103"/>
    </row>
    <row r="5" spans="1:9" x14ac:dyDescent="0.25">
      <c r="A5" s="77"/>
      <c r="B5" s="81" t="s">
        <v>102</v>
      </c>
      <c r="C5" s="81" t="s">
        <v>118</v>
      </c>
      <c r="D5" s="81" t="s">
        <v>102</v>
      </c>
      <c r="E5" s="81" t="s">
        <v>118</v>
      </c>
      <c r="F5" s="81" t="s">
        <v>102</v>
      </c>
      <c r="G5" s="81" t="s">
        <v>118</v>
      </c>
      <c r="H5" s="81" t="s">
        <v>102</v>
      </c>
      <c r="I5" s="81" t="s">
        <v>118</v>
      </c>
    </row>
    <row r="6" spans="1:9" x14ac:dyDescent="0.25">
      <c r="A6" s="87" t="s">
        <v>9</v>
      </c>
      <c r="B6" s="88">
        <v>450</v>
      </c>
      <c r="C6" s="88">
        <v>5605410657</v>
      </c>
      <c r="D6" s="88">
        <v>255</v>
      </c>
      <c r="E6" s="88">
        <v>4195169529</v>
      </c>
      <c r="F6" s="88">
        <v>163</v>
      </c>
      <c r="G6" s="88">
        <v>982531275</v>
      </c>
      <c r="H6" s="88">
        <v>32</v>
      </c>
      <c r="I6" s="88">
        <v>427709853</v>
      </c>
    </row>
    <row r="7" spans="1:9" x14ac:dyDescent="0.25">
      <c r="A7" s="89" t="s">
        <v>68</v>
      </c>
      <c r="B7" s="88">
        <v>10</v>
      </c>
      <c r="C7" s="88">
        <v>86458804</v>
      </c>
      <c r="D7" s="90">
        <v>5</v>
      </c>
      <c r="E7" s="90">
        <v>50631394</v>
      </c>
      <c r="F7" s="91">
        <v>5</v>
      </c>
      <c r="G7" s="91">
        <v>35827410</v>
      </c>
      <c r="H7" s="90">
        <v>0</v>
      </c>
      <c r="I7" s="90">
        <v>0</v>
      </c>
    </row>
    <row r="8" spans="1:9" x14ac:dyDescent="0.25">
      <c r="A8" s="89" t="s">
        <v>58</v>
      </c>
      <c r="B8" s="88">
        <v>7</v>
      </c>
      <c r="C8" s="88">
        <v>92345294</v>
      </c>
      <c r="D8" s="90">
        <v>5</v>
      </c>
      <c r="E8" s="90">
        <v>80512376</v>
      </c>
      <c r="F8" s="91">
        <v>2</v>
      </c>
      <c r="G8" s="91">
        <v>11832918</v>
      </c>
      <c r="H8" s="90">
        <v>0</v>
      </c>
      <c r="I8" s="90">
        <v>0</v>
      </c>
    </row>
    <row r="9" spans="1:9" x14ac:dyDescent="0.25">
      <c r="A9" s="89" t="s">
        <v>62</v>
      </c>
      <c r="B9" s="88">
        <v>6</v>
      </c>
      <c r="C9" s="88">
        <v>95105141</v>
      </c>
      <c r="D9" s="90">
        <v>3</v>
      </c>
      <c r="E9" s="90">
        <v>63578324</v>
      </c>
      <c r="F9" s="91">
        <v>2</v>
      </c>
      <c r="G9" s="91">
        <v>16544817</v>
      </c>
      <c r="H9" s="90">
        <v>1</v>
      </c>
      <c r="I9" s="90">
        <v>14982000</v>
      </c>
    </row>
    <row r="10" spans="1:9" x14ac:dyDescent="0.25">
      <c r="A10" s="89" t="s">
        <v>67</v>
      </c>
      <c r="B10" s="88">
        <v>3</v>
      </c>
      <c r="C10" s="88">
        <v>41792433</v>
      </c>
      <c r="D10" s="90">
        <v>2</v>
      </c>
      <c r="E10" s="90">
        <v>35853410</v>
      </c>
      <c r="F10" s="91">
        <v>1</v>
      </c>
      <c r="G10" s="91">
        <v>5939023</v>
      </c>
      <c r="H10" s="90">
        <v>0</v>
      </c>
      <c r="I10" s="90">
        <v>0</v>
      </c>
    </row>
    <row r="11" spans="1:9" x14ac:dyDescent="0.25">
      <c r="A11" s="89" t="s">
        <v>63</v>
      </c>
      <c r="B11" s="88">
        <v>13</v>
      </c>
      <c r="C11" s="88">
        <v>168098972</v>
      </c>
      <c r="D11" s="90">
        <v>9</v>
      </c>
      <c r="E11" s="90">
        <v>133829858</v>
      </c>
      <c r="F11" s="91">
        <v>3</v>
      </c>
      <c r="G11" s="91">
        <v>19279064</v>
      </c>
      <c r="H11" s="90">
        <v>1</v>
      </c>
      <c r="I11" s="90">
        <v>14990050</v>
      </c>
    </row>
    <row r="12" spans="1:9" x14ac:dyDescent="0.25">
      <c r="A12" s="89" t="s">
        <v>64</v>
      </c>
      <c r="B12" s="88">
        <v>65</v>
      </c>
      <c r="C12" s="88">
        <v>691134744</v>
      </c>
      <c r="D12" s="90">
        <v>34</v>
      </c>
      <c r="E12" s="90">
        <v>540632309</v>
      </c>
      <c r="F12" s="91">
        <v>30</v>
      </c>
      <c r="G12" s="91">
        <v>135706933</v>
      </c>
      <c r="H12" s="90">
        <v>1</v>
      </c>
      <c r="I12" s="90">
        <v>14795502</v>
      </c>
    </row>
    <row r="13" spans="1:9" x14ac:dyDescent="0.25">
      <c r="A13" s="89" t="s">
        <v>61</v>
      </c>
      <c r="B13" s="88">
        <v>207</v>
      </c>
      <c r="C13" s="88">
        <v>2563378929</v>
      </c>
      <c r="D13" s="90">
        <v>111</v>
      </c>
      <c r="E13" s="90">
        <v>1852052717</v>
      </c>
      <c r="F13" s="91">
        <v>75</v>
      </c>
      <c r="G13" s="91">
        <v>429021210</v>
      </c>
      <c r="H13" s="90">
        <v>21</v>
      </c>
      <c r="I13" s="90">
        <v>282305002</v>
      </c>
    </row>
    <row r="14" spans="1:9" x14ac:dyDescent="0.25">
      <c r="A14" s="89" t="s">
        <v>65</v>
      </c>
      <c r="B14" s="88">
        <v>14</v>
      </c>
      <c r="C14" s="88">
        <v>217559799</v>
      </c>
      <c r="D14" s="90">
        <v>11</v>
      </c>
      <c r="E14" s="90">
        <v>198550646</v>
      </c>
      <c r="F14" s="91">
        <v>3</v>
      </c>
      <c r="G14" s="91">
        <v>19009153</v>
      </c>
      <c r="H14" s="90">
        <v>0</v>
      </c>
      <c r="I14" s="90">
        <v>0</v>
      </c>
    </row>
    <row r="15" spans="1:9" x14ac:dyDescent="0.25">
      <c r="A15" s="89" t="s">
        <v>57</v>
      </c>
      <c r="B15" s="88">
        <v>13</v>
      </c>
      <c r="C15" s="88">
        <v>161184493</v>
      </c>
      <c r="D15" s="90">
        <v>6</v>
      </c>
      <c r="E15" s="90">
        <v>100606195</v>
      </c>
      <c r="F15" s="91">
        <v>6</v>
      </c>
      <c r="G15" s="91">
        <v>52771403</v>
      </c>
      <c r="H15" s="90">
        <v>1</v>
      </c>
      <c r="I15" s="90">
        <v>7806895</v>
      </c>
    </row>
    <row r="16" spans="1:9" x14ac:dyDescent="0.25">
      <c r="A16" s="89" t="s">
        <v>87</v>
      </c>
      <c r="B16" s="88">
        <v>7</v>
      </c>
      <c r="C16" s="88">
        <v>107764621</v>
      </c>
      <c r="D16" s="90">
        <v>6</v>
      </c>
      <c r="E16" s="90">
        <v>104684621</v>
      </c>
      <c r="F16" s="91">
        <v>1</v>
      </c>
      <c r="G16" s="91">
        <v>3080000</v>
      </c>
      <c r="H16" s="90">
        <v>0</v>
      </c>
      <c r="I16" s="90">
        <v>0</v>
      </c>
    </row>
    <row r="17" spans="1:9" x14ac:dyDescent="0.25">
      <c r="A17" s="89" t="s">
        <v>89</v>
      </c>
      <c r="B17" s="88">
        <v>28</v>
      </c>
      <c r="C17" s="88">
        <v>301126982</v>
      </c>
      <c r="D17" s="90">
        <v>13</v>
      </c>
      <c r="E17" s="90">
        <v>191980489</v>
      </c>
      <c r="F17" s="91">
        <v>13</v>
      </c>
      <c r="G17" s="91">
        <v>88263943</v>
      </c>
      <c r="H17" s="90">
        <v>2</v>
      </c>
      <c r="I17" s="90">
        <v>20882550</v>
      </c>
    </row>
    <row r="18" spans="1:9" x14ac:dyDescent="0.25">
      <c r="A18" s="89" t="s">
        <v>90</v>
      </c>
      <c r="B18" s="88">
        <v>15</v>
      </c>
      <c r="C18" s="88">
        <v>182712054</v>
      </c>
      <c r="D18" s="90">
        <v>7</v>
      </c>
      <c r="E18" s="90">
        <v>126174264</v>
      </c>
      <c r="F18" s="91">
        <v>7</v>
      </c>
      <c r="G18" s="91">
        <v>41537790</v>
      </c>
      <c r="H18" s="90">
        <v>1</v>
      </c>
      <c r="I18" s="90">
        <v>15000000</v>
      </c>
    </row>
    <row r="19" spans="1:9" x14ac:dyDescent="0.25">
      <c r="A19" s="89" t="s">
        <v>94</v>
      </c>
      <c r="B19" s="88">
        <v>23</v>
      </c>
      <c r="C19" s="88">
        <v>360248906</v>
      </c>
      <c r="D19" s="90">
        <v>17</v>
      </c>
      <c r="E19" s="90">
        <v>296598350</v>
      </c>
      <c r="F19" s="91">
        <v>4</v>
      </c>
      <c r="G19" s="91">
        <v>36598622</v>
      </c>
      <c r="H19" s="90">
        <v>2</v>
      </c>
      <c r="I19" s="90">
        <v>27051934</v>
      </c>
    </row>
    <row r="20" spans="1:9" x14ac:dyDescent="0.25">
      <c r="A20" s="89" t="s">
        <v>66</v>
      </c>
      <c r="B20" s="88">
        <v>23</v>
      </c>
      <c r="C20" s="88">
        <v>326746138</v>
      </c>
      <c r="D20" s="90">
        <v>15</v>
      </c>
      <c r="E20" s="90">
        <v>247739814</v>
      </c>
      <c r="F20" s="91">
        <v>6</v>
      </c>
      <c r="G20" s="91">
        <v>49110404</v>
      </c>
      <c r="H20" s="90">
        <v>2</v>
      </c>
      <c r="I20" s="90">
        <v>29895920</v>
      </c>
    </row>
    <row r="21" spans="1:9" x14ac:dyDescent="0.25">
      <c r="A21" s="89" t="s">
        <v>70</v>
      </c>
      <c r="B21" s="88">
        <v>6</v>
      </c>
      <c r="C21" s="88">
        <v>83573529</v>
      </c>
      <c r="D21" s="90">
        <v>3</v>
      </c>
      <c r="E21" s="90">
        <v>61912905</v>
      </c>
      <c r="F21" s="91">
        <v>3</v>
      </c>
      <c r="G21" s="91">
        <v>21660624</v>
      </c>
      <c r="H21" s="90">
        <v>0</v>
      </c>
      <c r="I21" s="90">
        <v>0</v>
      </c>
    </row>
    <row r="22" spans="1:9" x14ac:dyDescent="0.25">
      <c r="A22" s="92" t="s">
        <v>69</v>
      </c>
      <c r="B22" s="88">
        <v>10</v>
      </c>
      <c r="C22" s="88">
        <v>126179818</v>
      </c>
      <c r="D22" s="90">
        <v>8</v>
      </c>
      <c r="E22" s="90">
        <v>109831857</v>
      </c>
      <c r="F22" s="91">
        <v>2</v>
      </c>
      <c r="G22" s="91">
        <v>16347961</v>
      </c>
      <c r="H22" s="90">
        <v>0</v>
      </c>
      <c r="I22" s="90">
        <v>0</v>
      </c>
    </row>
    <row r="23" spans="1:9" x14ac:dyDescent="0.25">
      <c r="A23" s="76"/>
    </row>
    <row r="24" spans="1:9" x14ac:dyDescent="0.25">
      <c r="A24" s="93" t="s">
        <v>119</v>
      </c>
    </row>
    <row r="25" spans="1:9" x14ac:dyDescent="0.25">
      <c r="A25" s="94" t="s">
        <v>120</v>
      </c>
      <c r="B25" s="52"/>
      <c r="C25" s="52"/>
      <c r="D25" s="52"/>
      <c r="E25" s="52"/>
      <c r="F25" s="52"/>
      <c r="G25" s="52"/>
      <c r="H25" s="52"/>
      <c r="I25" s="52"/>
    </row>
    <row r="26" spans="1:9" x14ac:dyDescent="0.25">
      <c r="A26" s="86" t="s">
        <v>121</v>
      </c>
      <c r="B26" s="75"/>
      <c r="C26" s="75"/>
      <c r="D26" s="75"/>
      <c r="E26" s="75"/>
      <c r="F26" s="75"/>
      <c r="G26" s="75"/>
      <c r="H26" s="75"/>
      <c r="I26" s="75"/>
    </row>
    <row r="27" spans="1:9" x14ac:dyDescent="0.25">
      <c r="A27" s="9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ADAIN 2025</vt:lpstr>
      <vt:lpstr>Ser beneficiaria</vt:lpstr>
      <vt:lpstr>Matrícula Pregrado</vt:lpstr>
      <vt:lpstr>Matrícula Postgrado</vt:lpstr>
      <vt:lpstr>Años Acreditación</vt:lpstr>
      <vt:lpstr>Áreas Acreditación</vt:lpstr>
      <vt:lpstr>Fondo por habitante</vt:lpstr>
      <vt:lpstr>% por Universidad</vt:lpstr>
      <vt:lpstr>19.9</vt:lpstr>
      <vt:lpstr>19.11</vt:lpstr>
      <vt:lpstr>19.12</vt:lpstr>
      <vt:lpstr>19.13</vt: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Torres Huerta</dc:creator>
  <cp:lastModifiedBy>Paola Andrea Nuñez Cisternas</cp:lastModifiedBy>
  <dcterms:created xsi:type="dcterms:W3CDTF">2020-02-25T14:03:33Z</dcterms:created>
  <dcterms:modified xsi:type="dcterms:W3CDTF">2025-07-29T15:45:22Z</dcterms:modified>
</cp:coreProperties>
</file>