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ca-my.sharepoint.com/personal/paola_nunez_mineduc_cl/Documents/Documentos/3.- Asignación de Recursos/Cálculo Recursos 2025/FI/Para WEB/"/>
    </mc:Choice>
  </mc:AlternateContent>
  <xr:revisionPtr revIDLastSave="10" documentId="8_{F300B048-C645-4829-9890-1C613802AD23}" xr6:coauthVersionLast="47" xr6:coauthVersionMax="47" xr10:uidLastSave="{4C9E160B-30D3-4D97-9A02-D6CE1F5CD982}"/>
  <bookViews>
    <workbookView xWindow="20370" yWindow="-120" windowWidth="29040" windowHeight="15840" tabRatio="768" xr2:uid="{58240367-98E5-40ED-9E6A-5348AFFDA918}"/>
  </bookViews>
  <sheets>
    <sheet name="FI 2025" sheetId="18" r:id="rId1"/>
    <sheet name="I.Acreditación Institucional" sheetId="2" r:id="rId2"/>
    <sheet name="II.Doctorados Acreditados" sheetId="3" r:id="rId3"/>
    <sheet name="III. Planta Académica" sheetId="14" r:id="rId4"/>
    <sheet name="IV. Publicaciones por acad." sheetId="9" r:id="rId5"/>
    <sheet name="V.Citas" sheetId="6" r:id="rId6"/>
    <sheet name="VI. Proyectos" sheetId="7" r:id="rId7"/>
    <sheet name="VII. Publicaciones" sheetId="16" r:id="rId8"/>
  </sheets>
  <definedNames>
    <definedName name="_xlnm.Print_Area" localSheetId="0">'FI 2025'!$A$1:$Q$32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0" i="18" l="1"/>
  <c r="C13" i="18" l="1"/>
  <c r="K17" i="18" s="1"/>
  <c r="J6" i="3" l="1"/>
  <c r="H17" i="18"/>
  <c r="E17" i="18"/>
  <c r="I17" i="18"/>
  <c r="F17" i="18"/>
  <c r="J17" i="18"/>
  <c r="G17" i="18"/>
  <c r="I13" i="3" l="1"/>
  <c r="I14" i="3"/>
  <c r="I8" i="3"/>
  <c r="I12" i="3"/>
  <c r="I10" i="3"/>
  <c r="I9" i="3"/>
  <c r="I7" i="3"/>
  <c r="I16" i="3"/>
  <c r="I15" i="3"/>
  <c r="I11" i="3"/>
  <c r="J14" i="16" l="1"/>
  <c r="J10" i="16"/>
  <c r="J6" i="16"/>
  <c r="J13" i="16"/>
  <c r="J9" i="16"/>
  <c r="J12" i="16"/>
  <c r="J8" i="16"/>
  <c r="J15" i="16"/>
  <c r="J11" i="16"/>
  <c r="J7" i="16"/>
  <c r="R29" i="18" l="1"/>
  <c r="R28" i="18"/>
  <c r="R27" i="18"/>
  <c r="R26" i="18"/>
  <c r="R25" i="18"/>
  <c r="R24" i="18"/>
  <c r="R23" i="18"/>
  <c r="R22" i="18"/>
  <c r="R21" i="18"/>
  <c r="R20" i="18"/>
  <c r="R19" i="18"/>
  <c r="L16" i="18"/>
  <c r="H5" i="16" l="1"/>
  <c r="Q13" i="14" l="1"/>
  <c r="E13" i="9" s="1"/>
  <c r="Q11" i="14"/>
  <c r="E11" i="9" s="1"/>
  <c r="Q9" i="14"/>
  <c r="E9" i="9" s="1"/>
  <c r="Q7" i="14"/>
  <c r="E7" i="9" s="1"/>
  <c r="Q5" i="14"/>
  <c r="E5" i="9" s="1"/>
  <c r="U4" i="14"/>
  <c r="Q4" i="14"/>
  <c r="E4" i="9" s="1"/>
  <c r="Q14" i="14"/>
  <c r="E14" i="9" s="1"/>
  <c r="Q12" i="14"/>
  <c r="E12" i="9" s="1"/>
  <c r="Q10" i="14"/>
  <c r="E10" i="9" s="1"/>
  <c r="Q8" i="14"/>
  <c r="E8" i="9" s="1"/>
  <c r="Q6" i="14"/>
  <c r="E6" i="9" s="1"/>
  <c r="L17" i="18"/>
  <c r="J14" i="3" l="1"/>
  <c r="J10" i="3"/>
  <c r="J13" i="3"/>
  <c r="J16" i="3"/>
  <c r="J12" i="3"/>
  <c r="J15" i="3"/>
  <c r="J11" i="3"/>
  <c r="K15" i="14" l="1"/>
  <c r="J15" i="14"/>
  <c r="I15" i="14"/>
  <c r="H15" i="14"/>
  <c r="G15" i="14"/>
  <c r="F15" i="14"/>
  <c r="E15" i="14"/>
  <c r="D15" i="14"/>
  <c r="T14" i="14"/>
  <c r="U14" i="14"/>
  <c r="V14" i="14" l="1"/>
  <c r="H15" i="16" l="1"/>
  <c r="K15" i="16" l="1"/>
  <c r="L15" i="16" l="1"/>
  <c r="F14" i="6" l="1"/>
  <c r="F14" i="9"/>
  <c r="I15" i="2" l="1"/>
  <c r="H15" i="2"/>
  <c r="G15" i="2"/>
  <c r="I14" i="2"/>
  <c r="H14" i="2"/>
  <c r="G14" i="2"/>
  <c r="J14" i="2" s="1"/>
  <c r="I13" i="2"/>
  <c r="H13" i="2"/>
  <c r="G13" i="2"/>
  <c r="I12" i="2"/>
  <c r="H12" i="2"/>
  <c r="G12" i="2"/>
  <c r="I11" i="2"/>
  <c r="H11" i="2"/>
  <c r="G11" i="2"/>
  <c r="I10" i="2"/>
  <c r="H10" i="2"/>
  <c r="G10" i="2"/>
  <c r="I9" i="2"/>
  <c r="H9" i="2"/>
  <c r="G9" i="2"/>
  <c r="I8" i="2"/>
  <c r="H8" i="2"/>
  <c r="G8" i="2"/>
  <c r="I7" i="2"/>
  <c r="H7" i="2"/>
  <c r="G7" i="2"/>
  <c r="I6" i="2"/>
  <c r="H6" i="2"/>
  <c r="G6" i="2"/>
  <c r="J6" i="2" s="1"/>
  <c r="G5" i="2"/>
  <c r="J10" i="2" l="1"/>
  <c r="J9" i="2"/>
  <c r="J13" i="2"/>
  <c r="J8" i="2"/>
  <c r="J12" i="2"/>
  <c r="J7" i="2"/>
  <c r="J11" i="2"/>
  <c r="J15" i="2"/>
  <c r="D15" i="9"/>
  <c r="G16" i="2"/>
  <c r="H5" i="2"/>
  <c r="H16" i="2" s="1"/>
  <c r="I5" i="2"/>
  <c r="I16" i="2" s="1"/>
  <c r="J5" i="2" l="1"/>
  <c r="J16" i="2" l="1"/>
  <c r="K5" i="2" l="1"/>
  <c r="K8" i="2"/>
  <c r="K11" i="2"/>
  <c r="K13" i="2"/>
  <c r="K10" i="2"/>
  <c r="K12" i="2"/>
  <c r="K9" i="2"/>
  <c r="K7" i="2"/>
  <c r="K15" i="2"/>
  <c r="K6" i="2"/>
  <c r="K14" i="2"/>
  <c r="E29" i="18" l="1"/>
  <c r="E23" i="18"/>
  <c r="E19" i="18"/>
  <c r="E24" i="18"/>
  <c r="E27" i="18"/>
  <c r="E28" i="18"/>
  <c r="E22" i="18"/>
  <c r="E25" i="18"/>
  <c r="E20" i="18"/>
  <c r="E26" i="18"/>
  <c r="E21" i="18"/>
  <c r="E30" i="18" l="1"/>
  <c r="F6" i="6" l="1"/>
  <c r="E10" i="7" l="1"/>
  <c r="E7" i="7"/>
  <c r="E6" i="7"/>
  <c r="E11" i="7"/>
  <c r="E14" i="7"/>
  <c r="E12" i="7"/>
  <c r="E9" i="7"/>
  <c r="E5" i="7"/>
  <c r="E13" i="7"/>
  <c r="E8" i="7"/>
  <c r="F13" i="6"/>
  <c r="F11" i="6"/>
  <c r="F9" i="6"/>
  <c r="F7" i="6"/>
  <c r="F5" i="6"/>
  <c r="F10" i="6"/>
  <c r="F12" i="6"/>
  <c r="F8" i="6"/>
  <c r="F4" i="6"/>
  <c r="H14" i="16"/>
  <c r="J23" i="18" l="1"/>
  <c r="J24" i="18"/>
  <c r="J26" i="18"/>
  <c r="J22" i="18"/>
  <c r="J27" i="18"/>
  <c r="J21" i="18"/>
  <c r="J20" i="18"/>
  <c r="J28" i="18"/>
  <c r="J29" i="18"/>
  <c r="J25" i="18"/>
  <c r="F15" i="6"/>
  <c r="K14" i="16"/>
  <c r="L14" i="16" s="1"/>
  <c r="G14" i="6" l="1"/>
  <c r="I29" i="18" s="1"/>
  <c r="U12" i="14" l="1"/>
  <c r="U10" i="14"/>
  <c r="U8" i="14"/>
  <c r="U6" i="14"/>
  <c r="T12" i="14"/>
  <c r="T10" i="14"/>
  <c r="T8" i="14"/>
  <c r="T6" i="14"/>
  <c r="U13" i="14"/>
  <c r="U11" i="14"/>
  <c r="U9" i="14"/>
  <c r="U7" i="14"/>
  <c r="U5" i="14"/>
  <c r="T13" i="14"/>
  <c r="T11" i="14"/>
  <c r="T9" i="14"/>
  <c r="T7" i="14"/>
  <c r="T5" i="14"/>
  <c r="F13" i="9" l="1"/>
  <c r="T4" i="14"/>
  <c r="T15" i="14" s="1"/>
  <c r="L15" i="14"/>
  <c r="M15" i="14"/>
  <c r="V13" i="14"/>
  <c r="V12" i="14" l="1"/>
  <c r="F12" i="9" l="1"/>
  <c r="I6" i="3" l="1"/>
  <c r="I17" i="3" l="1"/>
  <c r="H11" i="16" l="1"/>
  <c r="K11" i="16" l="1"/>
  <c r="L11" i="16" s="1"/>
  <c r="V10" i="14" l="1"/>
  <c r="F10" i="9" l="1"/>
  <c r="H13" i="16" l="1"/>
  <c r="H12" i="16"/>
  <c r="H10" i="16"/>
  <c r="H9" i="16"/>
  <c r="H8" i="16"/>
  <c r="H7" i="16"/>
  <c r="AE15" i="14"/>
  <c r="J7" i="3" l="1"/>
  <c r="J8" i="3"/>
  <c r="J9" i="3"/>
  <c r="K7" i="16"/>
  <c r="L7" i="16" s="1"/>
  <c r="K8" i="16"/>
  <c r="L8" i="16" s="1"/>
  <c r="J5" i="16"/>
  <c r="J16" i="16" s="1"/>
  <c r="H6" i="16"/>
  <c r="K9" i="16"/>
  <c r="L9" i="16" s="1"/>
  <c r="K10" i="16"/>
  <c r="L10" i="16" s="1"/>
  <c r="K12" i="16"/>
  <c r="L12" i="16" s="1"/>
  <c r="K13" i="16"/>
  <c r="L13" i="16" s="1"/>
  <c r="Q15" i="14" l="1"/>
  <c r="H16" i="16"/>
  <c r="F9" i="9"/>
  <c r="F5" i="9"/>
  <c r="J17" i="3"/>
  <c r="G12" i="6"/>
  <c r="G11" i="6"/>
  <c r="G10" i="6"/>
  <c r="G8" i="6"/>
  <c r="G9" i="6"/>
  <c r="G6" i="6"/>
  <c r="G7" i="6"/>
  <c r="G13" i="6"/>
  <c r="G5" i="6"/>
  <c r="K5" i="16"/>
  <c r="E4" i="7"/>
  <c r="K6" i="16"/>
  <c r="L6" i="16" s="1"/>
  <c r="F11" i="9" l="1"/>
  <c r="F7" i="9"/>
  <c r="F8" i="9"/>
  <c r="F6" i="9"/>
  <c r="I22" i="18"/>
  <c r="I21" i="18"/>
  <c r="I25" i="18"/>
  <c r="I26" i="18"/>
  <c r="I24" i="18"/>
  <c r="I20" i="18"/>
  <c r="I23" i="18"/>
  <c r="I27" i="18"/>
  <c r="I28" i="18"/>
  <c r="E15" i="7"/>
  <c r="J19" i="18"/>
  <c r="J30" i="18" s="1"/>
  <c r="I15" i="16"/>
  <c r="P15" i="16" s="1"/>
  <c r="K16" i="16"/>
  <c r="E15" i="9"/>
  <c r="K16" i="3"/>
  <c r="K14" i="3"/>
  <c r="K6" i="3"/>
  <c r="I14" i="16"/>
  <c r="P14" i="16" s="1"/>
  <c r="I6" i="16"/>
  <c r="P6" i="16" s="1"/>
  <c r="I11" i="16"/>
  <c r="P11" i="16" s="1"/>
  <c r="G4" i="6"/>
  <c r="K12" i="3"/>
  <c r="F4" i="9"/>
  <c r="L5" i="16"/>
  <c r="L16" i="16" s="1"/>
  <c r="I13" i="16"/>
  <c r="I7" i="16"/>
  <c r="I8" i="16"/>
  <c r="I12" i="16"/>
  <c r="I10" i="16"/>
  <c r="I9" i="16"/>
  <c r="I5" i="16"/>
  <c r="K13" i="3"/>
  <c r="K15" i="3"/>
  <c r="K8" i="3"/>
  <c r="K9" i="3"/>
  <c r="K11" i="3"/>
  <c r="K7" i="3"/>
  <c r="K10" i="3"/>
  <c r="F24" i="18" l="1"/>
  <c r="F22" i="18"/>
  <c r="F20" i="18"/>
  <c r="F28" i="18"/>
  <c r="F25" i="18"/>
  <c r="F23" i="18"/>
  <c r="F29" i="18"/>
  <c r="F15" i="9"/>
  <c r="G14" i="9" s="1"/>
  <c r="F19" i="18"/>
  <c r="F26" i="18"/>
  <c r="F27" i="18"/>
  <c r="I19" i="18"/>
  <c r="I30" i="18" s="1"/>
  <c r="F21" i="18"/>
  <c r="M15" i="16"/>
  <c r="Q15" i="16" s="1"/>
  <c r="R15" i="16" s="1"/>
  <c r="I16" i="16"/>
  <c r="G15" i="6"/>
  <c r="K17" i="3"/>
  <c r="M14" i="16"/>
  <c r="Q14" i="16" s="1"/>
  <c r="R14" i="16" s="1"/>
  <c r="K16" i="2"/>
  <c r="P9" i="16"/>
  <c r="P13" i="16"/>
  <c r="P12" i="16"/>
  <c r="P7" i="16"/>
  <c r="P10" i="16"/>
  <c r="P8" i="16"/>
  <c r="P5" i="16"/>
  <c r="H29" i="18" l="1"/>
  <c r="G13" i="9"/>
  <c r="G5" i="9"/>
  <c r="G6" i="9"/>
  <c r="G10" i="9"/>
  <c r="G8" i="9"/>
  <c r="G9" i="9"/>
  <c r="G12" i="9"/>
  <c r="G11" i="9"/>
  <c r="G7" i="9"/>
  <c r="K29" i="18"/>
  <c r="F30" i="18"/>
  <c r="K28" i="18"/>
  <c r="P16" i="16"/>
  <c r="G4" i="9"/>
  <c r="M11" i="16"/>
  <c r="Q11" i="16" s="1"/>
  <c r="K25" i="18" s="1"/>
  <c r="M5" i="16"/>
  <c r="M7" i="16"/>
  <c r="M13" i="16"/>
  <c r="M12" i="16"/>
  <c r="M8" i="16"/>
  <c r="M9" i="16"/>
  <c r="M10" i="16"/>
  <c r="M6" i="16"/>
  <c r="H26" i="18" l="1"/>
  <c r="H25" i="18"/>
  <c r="H27" i="18"/>
  <c r="H24" i="18"/>
  <c r="H23" i="18"/>
  <c r="H20" i="18"/>
  <c r="H28" i="18"/>
  <c r="H21" i="18"/>
  <c r="H22" i="18"/>
  <c r="H19" i="18"/>
  <c r="R11" i="16"/>
  <c r="M16" i="16"/>
  <c r="G15" i="9"/>
  <c r="Q5" i="16"/>
  <c r="K19" i="18" s="1"/>
  <c r="Q9" i="16"/>
  <c r="K22" i="18" s="1"/>
  <c r="Q7" i="16"/>
  <c r="K24" i="18" s="1"/>
  <c r="Q8" i="16"/>
  <c r="K21" i="18" s="1"/>
  <c r="Q6" i="16"/>
  <c r="K20" i="18" s="1"/>
  <c r="Q12" i="16"/>
  <c r="K26" i="18" s="1"/>
  <c r="Q10" i="16"/>
  <c r="K23" i="18" s="1"/>
  <c r="Q13" i="16"/>
  <c r="K27" i="18" s="1"/>
  <c r="H30" i="18" l="1"/>
  <c r="K30" i="18"/>
  <c r="R6" i="16"/>
  <c r="R12" i="16"/>
  <c r="Q16" i="16"/>
  <c r="R5" i="16"/>
  <c r="R7" i="16"/>
  <c r="R13" i="16"/>
  <c r="R8" i="16"/>
  <c r="R10" i="16"/>
  <c r="R9" i="16"/>
  <c r="R16" i="16" l="1"/>
  <c r="V8" i="14" l="1"/>
  <c r="V7" i="14"/>
  <c r="V11" i="14"/>
  <c r="V6" i="14"/>
  <c r="U15" i="14"/>
  <c r="V9" i="14"/>
  <c r="V5" i="14"/>
  <c r="V4" i="14" l="1"/>
  <c r="V15" i="14" l="1"/>
  <c r="X12" i="14" l="1"/>
  <c r="W13" i="14"/>
  <c r="X5" i="14"/>
  <c r="X9" i="14"/>
  <c r="X13" i="14"/>
  <c r="W6" i="14"/>
  <c r="W8" i="14"/>
  <c r="W10" i="14"/>
  <c r="W12" i="14"/>
  <c r="W14" i="14"/>
  <c r="X6" i="14"/>
  <c r="Y6" i="14" s="1"/>
  <c r="X8" i="14"/>
  <c r="X10" i="14"/>
  <c r="X14" i="14"/>
  <c r="Y14" i="14" s="1"/>
  <c r="W5" i="14"/>
  <c r="Y5" i="14" s="1"/>
  <c r="W7" i="14"/>
  <c r="W9" i="14"/>
  <c r="W11" i="14"/>
  <c r="X7" i="14"/>
  <c r="X11" i="14"/>
  <c r="Y7" i="14" l="1"/>
  <c r="AA7" i="14" s="1"/>
  <c r="AB7" i="14" s="1"/>
  <c r="Y9" i="14"/>
  <c r="Y11" i="14"/>
  <c r="AA11" i="14" s="1"/>
  <c r="AB11" i="14" s="1"/>
  <c r="Y8" i="14"/>
  <c r="AA9" i="14"/>
  <c r="AB9" i="14" s="1"/>
  <c r="O15" i="14"/>
  <c r="X4" i="14"/>
  <c r="X15" i="14" s="1"/>
  <c r="AA5" i="14"/>
  <c r="AB5" i="14" s="1"/>
  <c r="AA6" i="14"/>
  <c r="AB6" i="14" s="1"/>
  <c r="N15" i="14"/>
  <c r="W15" i="14" s="1"/>
  <c r="W4" i="14"/>
  <c r="AA14" i="14"/>
  <c r="AB14" i="14" s="1"/>
  <c r="Y13" i="14"/>
  <c r="Y10" i="14"/>
  <c r="Y12" i="14"/>
  <c r="Y4" i="14" l="1"/>
  <c r="AA12" i="14"/>
  <c r="AB12" i="14" s="1"/>
  <c r="AA13" i="14"/>
  <c r="AB13" i="14" s="1"/>
  <c r="AA10" i="14"/>
  <c r="AB10" i="14" s="1"/>
  <c r="AA8" i="14"/>
  <c r="AB8" i="14" s="1"/>
  <c r="Y15" i="14"/>
  <c r="Z4" i="14" s="1"/>
  <c r="AA4" i="14"/>
  <c r="AB4" i="14" s="1"/>
  <c r="AF4" i="14" l="1"/>
  <c r="Z7" i="14"/>
  <c r="AF7" i="14" s="1"/>
  <c r="Z11" i="14"/>
  <c r="AF11" i="14" s="1"/>
  <c r="Z6" i="14"/>
  <c r="AF6" i="14" s="1"/>
  <c r="Z14" i="14"/>
  <c r="AF14" i="14" s="1"/>
  <c r="Z9" i="14"/>
  <c r="AF9" i="14" s="1"/>
  <c r="Z5" i="14"/>
  <c r="AF5" i="14" s="1"/>
  <c r="Z8" i="14"/>
  <c r="AF8" i="14" s="1"/>
  <c r="Z10" i="14"/>
  <c r="AF10" i="14" s="1"/>
  <c r="Z12" i="14"/>
  <c r="AF12" i="14" s="1"/>
  <c r="AB15" i="14"/>
  <c r="AC13" i="14" s="1"/>
  <c r="AG13" i="14" s="1"/>
  <c r="Z13" i="14"/>
  <c r="AF13" i="14" s="1"/>
  <c r="AC12" i="14" l="1"/>
  <c r="AG12" i="14" s="1"/>
  <c r="AH12" i="14" s="1"/>
  <c r="AC4" i="14"/>
  <c r="AG4" i="14" s="1"/>
  <c r="AH4" i="14" s="1"/>
  <c r="AC10" i="14"/>
  <c r="AG10" i="14" s="1"/>
  <c r="AH10" i="14" s="1"/>
  <c r="Z15" i="14"/>
  <c r="AH13" i="14"/>
  <c r="AC14" i="14"/>
  <c r="AG14" i="14" s="1"/>
  <c r="AH14" i="14" s="1"/>
  <c r="AC11" i="14"/>
  <c r="AG11" i="14" s="1"/>
  <c r="AH11" i="14" s="1"/>
  <c r="AC9" i="14"/>
  <c r="AG9" i="14" s="1"/>
  <c r="AH9" i="14" s="1"/>
  <c r="AC6" i="14"/>
  <c r="AG6" i="14" s="1"/>
  <c r="AH6" i="14" s="1"/>
  <c r="AC7" i="14"/>
  <c r="AG7" i="14" s="1"/>
  <c r="AH7" i="14" s="1"/>
  <c r="AC5" i="14"/>
  <c r="AG5" i="14" s="1"/>
  <c r="AH5" i="14" s="1"/>
  <c r="AC8" i="14"/>
  <c r="AG8" i="14" s="1"/>
  <c r="AH8" i="14" s="1"/>
  <c r="G27" i="18"/>
  <c r="L27" i="18" s="1"/>
  <c r="AF15" i="14"/>
  <c r="G19" i="18" l="1"/>
  <c r="AH15" i="14"/>
  <c r="G24" i="18"/>
  <c r="L24" i="18" s="1"/>
  <c r="AG15" i="14"/>
  <c r="G22" i="18"/>
  <c r="L22" i="18" s="1"/>
  <c r="G23" i="18"/>
  <c r="L23" i="18" s="1"/>
  <c r="G25" i="18"/>
  <c r="L25" i="18" s="1"/>
  <c r="G20" i="18"/>
  <c r="L20" i="18" s="1"/>
  <c r="G26" i="18"/>
  <c r="L26" i="18" s="1"/>
  <c r="G28" i="18"/>
  <c r="L28" i="18" s="1"/>
  <c r="G21" i="18"/>
  <c r="L21" i="18" s="1"/>
  <c r="G29" i="18"/>
  <c r="L29" i="18" s="1"/>
  <c r="AC15" i="14"/>
  <c r="M27" i="18" l="1"/>
  <c r="O27" i="18" s="1"/>
  <c r="P27" i="18" s="1"/>
  <c r="L19" i="18"/>
  <c r="G30" i="18"/>
  <c r="M21" i="18" l="1"/>
  <c r="O21" i="18" s="1"/>
  <c r="P21" i="18" s="1"/>
  <c r="M26" i="18"/>
  <c r="O26" i="18" s="1"/>
  <c r="P26" i="18" s="1"/>
  <c r="M28" i="18"/>
  <c r="O28" i="18" s="1"/>
  <c r="P28" i="18" s="1"/>
  <c r="M19" i="18"/>
  <c r="O19" i="18" s="1"/>
  <c r="L30" i="18"/>
  <c r="M24" i="18"/>
  <c r="O24" i="18" s="1"/>
  <c r="P24" i="18" s="1"/>
  <c r="M23" i="18"/>
  <c r="O23" i="18" s="1"/>
  <c r="P23" i="18" s="1"/>
  <c r="M22" i="18"/>
  <c r="O22" i="18" s="1"/>
  <c r="P22" i="18" s="1"/>
  <c r="M25" i="18"/>
  <c r="O25" i="18" s="1"/>
  <c r="P25" i="18" s="1"/>
  <c r="M20" i="18"/>
  <c r="O20" i="18" s="1"/>
  <c r="P20" i="18" s="1"/>
  <c r="M29" i="18"/>
  <c r="O29" i="18" s="1"/>
  <c r="P29" i="18" s="1"/>
  <c r="P19" i="18" l="1"/>
  <c r="O30" i="18"/>
  <c r="P30" i="18"/>
  <c r="M30" i="18"/>
  <c r="N29" i="18" l="1"/>
  <c r="M31" i="18"/>
  <c r="N25" i="18"/>
  <c r="N28" i="18"/>
  <c r="N26" i="18"/>
  <c r="N27" i="18"/>
  <c r="N19" i="18"/>
  <c r="N23" i="18"/>
  <c r="N24" i="18"/>
  <c r="N22" i="18"/>
  <c r="N20" i="18"/>
  <c r="N21" i="18"/>
  <c r="N30" i="18" l="1"/>
</calcChain>
</file>

<file path=xl/sharedStrings.xml><?xml version="1.0" encoding="utf-8"?>
<sst xmlns="http://schemas.openxmlformats.org/spreadsheetml/2006/main" count="447" uniqueCount="147">
  <si>
    <t>Codigo</t>
  </si>
  <si>
    <t>Nombre IES</t>
  </si>
  <si>
    <t>UDP</t>
  </si>
  <si>
    <t>U. DIEGO PORTALES</t>
  </si>
  <si>
    <t>UAH</t>
  </si>
  <si>
    <t>U. ALBERTO HURTADO</t>
  </si>
  <si>
    <t>UCS</t>
  </si>
  <si>
    <t>U. CATÓLICA CARDENAL RAUL SILVA HENRIQUEZ</t>
  </si>
  <si>
    <t>UAU</t>
  </si>
  <si>
    <t>U. AUTONOMA DE CHILE</t>
  </si>
  <si>
    <t>UFT</t>
  </si>
  <si>
    <t>U. FINIS TERRAE</t>
  </si>
  <si>
    <t>AHC</t>
  </si>
  <si>
    <t>U. ACADEMIA DE HUMANISMO CRISTIANO</t>
  </si>
  <si>
    <t>TOTAL</t>
  </si>
  <si>
    <t>Monto por Indicador</t>
  </si>
  <si>
    <t>Doctorados Acreditados</t>
  </si>
  <si>
    <t>Planta Académica</t>
  </si>
  <si>
    <t>Publicaciones</t>
  </si>
  <si>
    <t>Proyectos</t>
  </si>
  <si>
    <t>N°</t>
  </si>
  <si>
    <t>Citas por publicación</t>
  </si>
  <si>
    <t>Total M$</t>
  </si>
  <si>
    <t>IES</t>
  </si>
  <si>
    <t>N° áreas acreditadas</t>
  </si>
  <si>
    <t>Cod_IES</t>
  </si>
  <si>
    <t>5 áreas</t>
  </si>
  <si>
    <t>Investigación</t>
  </si>
  <si>
    <t>Puntaje Años Acreditación Institucional</t>
  </si>
  <si>
    <t>% Planta Académica Total
Parte I</t>
  </si>
  <si>
    <t>% Planta Académica Total
Parte II</t>
  </si>
  <si>
    <t>% Publicaciones
Parte II</t>
  </si>
  <si>
    <t>Parte II</t>
  </si>
  <si>
    <t>Parte I</t>
  </si>
  <si>
    <t>% Planta academica</t>
  </si>
  <si>
    <t>% Publicaciones</t>
  </si>
  <si>
    <t xml:space="preserve">% Años Doctorados Acreditados
</t>
  </si>
  <si>
    <t>a)</t>
  </si>
  <si>
    <t>b)</t>
  </si>
  <si>
    <t>c)</t>
  </si>
  <si>
    <t>d)</t>
  </si>
  <si>
    <t>e)</t>
  </si>
  <si>
    <t>f)</t>
  </si>
  <si>
    <t>g)</t>
  </si>
  <si>
    <t>I.</t>
  </si>
  <si>
    <t>II.</t>
  </si>
  <si>
    <t>num</t>
  </si>
  <si>
    <t>den</t>
  </si>
  <si>
    <t>num/den</t>
  </si>
  <si>
    <t>1p</t>
  </si>
  <si>
    <t>2p</t>
  </si>
  <si>
    <t>h)</t>
  </si>
  <si>
    <t>i)</t>
  </si>
  <si>
    <t>j)</t>
  </si>
  <si>
    <t>k)</t>
  </si>
  <si>
    <t>III.</t>
  </si>
  <si>
    <t>IV.</t>
  </si>
  <si>
    <t>V.</t>
  </si>
  <si>
    <t>VI.</t>
  </si>
  <si>
    <t>VII.</t>
  </si>
  <si>
    <t>N° Doctorados Acreditados 2 años</t>
  </si>
  <si>
    <t>N° Doctorados Acreditados 3 años</t>
  </si>
  <si>
    <t>N° Doctorados Acreditados 4 años</t>
  </si>
  <si>
    <t>N° Doctorados Acreditados 5 años</t>
  </si>
  <si>
    <t>Total N° Doctorados Acreditados</t>
  </si>
  <si>
    <t>e) (suma  b c d )</t>
  </si>
  <si>
    <t>% Acreditación Institucional</t>
  </si>
  <si>
    <t>suma</t>
  </si>
  <si>
    <t xml:space="preserve"> Publicaciones por académico</t>
  </si>
  <si>
    <t>Acreditación Institucional</t>
  </si>
  <si>
    <t>M$</t>
  </si>
  <si>
    <t>Corriente</t>
  </si>
  <si>
    <t>Capital</t>
  </si>
  <si>
    <t>N° Doctorados Acreditados 6 años</t>
  </si>
  <si>
    <t>Nº total de Académicos JC* 2019</t>
  </si>
  <si>
    <t>Nº de Académicos JC* 2019 con grado de Doctor</t>
  </si>
  <si>
    <t>U. BERNARDO O'HIGGINS</t>
  </si>
  <si>
    <t>UBO</t>
  </si>
  <si>
    <t>U. MAYOR</t>
  </si>
  <si>
    <t>UMA</t>
  </si>
  <si>
    <t>Nº total de Académicos JC* 2020</t>
  </si>
  <si>
    <t>Nº de Académicos JC* 2020 con grado de Doctor</t>
  </si>
  <si>
    <t>Puntaje Ponderado Acreditación</t>
  </si>
  <si>
    <t>UST</t>
  </si>
  <si>
    <t>U. SANTO TOMÁS</t>
  </si>
  <si>
    <t>Acreditación en Investigación</t>
  </si>
  <si>
    <t>Años Acreditación</t>
  </si>
  <si>
    <t>Publicaciones Scopus 2020</t>
  </si>
  <si>
    <t>Nº de Académicos JC* 2021 con grado de Doctor</t>
  </si>
  <si>
    <t>Nº total de Académicos JC* 2021</t>
  </si>
  <si>
    <t>U.CENTRAL</t>
  </si>
  <si>
    <t>UCE</t>
  </si>
  <si>
    <t>Nº de Académicos JC* 2022 con grado de Doctor</t>
  </si>
  <si>
    <t>Nº total de Académicos JC* 2022</t>
  </si>
  <si>
    <t>Publicaciones Scopus 2021</t>
  </si>
  <si>
    <t>U.DE LAS AMÉRICAS</t>
  </si>
  <si>
    <t>UAM</t>
  </si>
  <si>
    <t>Total Final Truncado M$</t>
  </si>
  <si>
    <t>Nº de Académicos JC* 2023 con grado de Doctor</t>
  </si>
  <si>
    <t>Nº total de Académicos JC* 2023</t>
  </si>
  <si>
    <t>Académicos JC con Doctor
 2021-2023</t>
  </si>
  <si>
    <t>Académicos JC
 2021-2023</t>
  </si>
  <si>
    <t>% Planta Académica
 2021-2023 por IES</t>
  </si>
  <si>
    <t>Publicaciones Scopus 2022</t>
  </si>
  <si>
    <t>Publicaciones Scopus  2020-2022</t>
  </si>
  <si>
    <t>Total Presupuesto 2025</t>
  </si>
  <si>
    <t>Nº total de Académicos JC* 2024</t>
  </si>
  <si>
    <t>Nº de Académicos JC* 2024 con grado de Doctor</t>
  </si>
  <si>
    <t>Académicos JC con Doctor
 2022-2024</t>
  </si>
  <si>
    <t>Académicos JC
 2022-2024</t>
  </si>
  <si>
    <t>% Planta Académica
 2022-2024 por IES</t>
  </si>
  <si>
    <t>variación
% 2024
v/s
% 2023
%</t>
  </si>
  <si>
    <t>Proyectos (Todos) 2024</t>
  </si>
  <si>
    <t>% Proyectos 2024</t>
  </si>
  <si>
    <t>Nº total de Académicos JC* 2019-2023</t>
  </si>
  <si>
    <t>variación CORREGIDA (pasando a 0 si es  negativos)
% 2024
v/s
% 2023
%</t>
  </si>
  <si>
    <t>Publicaciones Scopus 2019-2023</t>
  </si>
  <si>
    <t>Académicos JC 2019-2023</t>
  </si>
  <si>
    <t>Promedio Publicaciones Scopus por AJC 2019-2023</t>
  </si>
  <si>
    <t>% Publicaciones Scopus por AJC 2019-2023</t>
  </si>
  <si>
    <t>Citas SCOPUS 2019-2023</t>
  </si>
  <si>
    <t>Publicaciones SCOPUS 2019-2023</t>
  </si>
  <si>
    <t>Promedio SCOPUS citas por publicaciones 2019-2023</t>
  </si>
  <si>
    <t>% Citas Scopus 2019-2023</t>
  </si>
  <si>
    <t>Publicaciones Scopus 2023</t>
  </si>
  <si>
    <t>Publicaciones Scopus  2021-2023</t>
  </si>
  <si>
    <t>% Publicaciones
2021-2023
Parte I</t>
  </si>
  <si>
    <t xml:space="preserve">Variación 
2021-2023
v/S
2020-2022
FRECUENCIAS
</t>
  </si>
  <si>
    <t>variación CORREGIDA (pasando a 0 si es  negativos)
tasa 2021-2023
v/s
tasa 2020-2022
%</t>
  </si>
  <si>
    <t>N° Años Doctorados Acreditados 
2024</t>
  </si>
  <si>
    <t>Acreditación al 31-12-2024</t>
  </si>
  <si>
    <t>Aporte para Fomento de Investigación (FI)</t>
  </si>
  <si>
    <t>Distribución de Recursos por Institución</t>
  </si>
  <si>
    <t>Miles de pesos</t>
  </si>
  <si>
    <t>Ley de presupuestos año 2025</t>
  </si>
  <si>
    <t>Montos FI</t>
  </si>
  <si>
    <t>FI 2025 %</t>
  </si>
  <si>
    <t>Monto Transferencias Corrientes
 M$</t>
  </si>
  <si>
    <t>Monto Transferencias de Capital
 M$</t>
  </si>
  <si>
    <t>Región Universidad
(casa central)</t>
  </si>
  <si>
    <t>Región Metropolitana de Santiago</t>
  </si>
  <si>
    <t>Región de La Araucanía</t>
  </si>
  <si>
    <t>Cod 2</t>
  </si>
  <si>
    <t>Código SIES</t>
  </si>
  <si>
    <t>Unidad de Análisis y Estudios, DIVIA - SUBESUP</t>
  </si>
  <si>
    <t>Dec. N°83-2025
Monto a Distribuir
 M$</t>
  </si>
  <si>
    <t xml:space="preserve">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</si>
</sst>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0.0%"/>
    <numFmt numFmtId="169" formatCode="_-* #,##0\ _€_-;\-* #,##0\ _€_-;_-* &quot;-&quot;??\ _€_-;_-@_-"/>
    <numFmt numFmtId="170" formatCode="_-* #,##0.0000_-;\-* #,##0.0000_-;_-* &quot;-&quot;??_-;_-@_-"/>
    <numFmt numFmtId="171" formatCode="0.0000000000000%"/>
    <numFmt numFmtId="172" formatCode="_ * #,##0.0_ ;_ * \-#,##0.0_ ;_ * &quot;-&quot;?_ ;_ @_ "/>
    <numFmt numFmtId="173" formatCode="_ * #,##0_ ;_ * \-#,##0_ ;_ * &quot;-&quot;?_ ;_ @_ "/>
    <numFmt numFmtId="174" formatCode="0.000"/>
    <numFmt numFmtId="175" formatCode="#,##0.0000_ ;[Red]\-#,##0.0000\ "/>
    <numFmt numFmtId="176" formatCode="#,##0.0;\-#,##0.0"/>
    <numFmt numFmtId="177" formatCode="_-* #,##0_-;\-* #,##0_-;_-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3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23" fillId="0" borderId="0"/>
    <xf numFmtId="0" fontId="23" fillId="0" borderId="0"/>
  </cellStyleXfs>
  <cellXfs count="197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left"/>
    </xf>
    <xf numFmtId="0" fontId="3" fillId="0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9" fontId="0" fillId="0" borderId="0" xfId="0" applyNumberFormat="1"/>
    <xf numFmtId="0" fontId="7" fillId="0" borderId="1" xfId="0" applyFont="1" applyBorder="1"/>
    <xf numFmtId="165" fontId="8" fillId="0" borderId="1" xfId="1" applyNumberFormat="1" applyFont="1" applyBorder="1"/>
    <xf numFmtId="0" fontId="9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165" fontId="7" fillId="0" borderId="1" xfId="1" applyNumberFormat="1" applyFont="1" applyBorder="1"/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9" fontId="7" fillId="0" borderId="1" xfId="2" applyFont="1" applyBorder="1"/>
    <xf numFmtId="0" fontId="11" fillId="0" borderId="0" xfId="0" applyFont="1" applyAlignment="1">
      <alignment horizontal="center"/>
    </xf>
    <xf numFmtId="9" fontId="7" fillId="0" borderId="1" xfId="0" applyNumberFormat="1" applyFont="1" applyBorder="1"/>
    <xf numFmtId="0" fontId="10" fillId="0" borderId="0" xfId="0" applyFont="1"/>
    <xf numFmtId="169" fontId="4" fillId="0" borderId="8" xfId="0" applyNumberFormat="1" applyFont="1" applyBorder="1"/>
    <xf numFmtId="169" fontId="4" fillId="0" borderId="9" xfId="0" applyNumberFormat="1" applyFont="1" applyBorder="1"/>
    <xf numFmtId="165" fontId="8" fillId="0" borderId="8" xfId="1" applyNumberFormat="1" applyFont="1" applyBorder="1"/>
    <xf numFmtId="165" fontId="8" fillId="0" borderId="15" xfId="1" applyNumberFormat="1" applyFont="1" applyBorder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/>
    <xf numFmtId="0" fontId="10" fillId="0" borderId="21" xfId="0" applyFont="1" applyBorder="1"/>
    <xf numFmtId="0" fontId="7" fillId="0" borderId="20" xfId="0" applyFont="1" applyBorder="1"/>
    <xf numFmtId="0" fontId="7" fillId="0" borderId="21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6" fillId="0" borderId="0" xfId="0" applyFont="1"/>
    <xf numFmtId="9" fontId="0" fillId="0" borderId="0" xfId="2" applyFont="1" applyFill="1"/>
    <xf numFmtId="9" fontId="7" fillId="2" borderId="1" xfId="2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19" fillId="0" borderId="0" xfId="0" applyFont="1"/>
    <xf numFmtId="0" fontId="2" fillId="0" borderId="20" xfId="0" applyFont="1" applyBorder="1"/>
    <xf numFmtId="169" fontId="8" fillId="0" borderId="1" xfId="0" applyNumberFormat="1" applyFont="1" applyBorder="1"/>
    <xf numFmtId="3" fontId="7" fillId="0" borderId="6" xfId="0" applyNumberFormat="1" applyFont="1" applyBorder="1"/>
    <xf numFmtId="3" fontId="7" fillId="0" borderId="1" xfId="0" applyNumberFormat="1" applyFont="1" applyBorder="1"/>
    <xf numFmtId="168" fontId="7" fillId="0" borderId="2" xfId="2" applyNumberFormat="1" applyFont="1" applyBorder="1"/>
    <xf numFmtId="9" fontId="8" fillId="0" borderId="26" xfId="2" applyFont="1" applyBorder="1"/>
    <xf numFmtId="0" fontId="13" fillId="0" borderId="0" xfId="0" applyFont="1"/>
    <xf numFmtId="0" fontId="8" fillId="0" borderId="30" xfId="0" applyFont="1" applyBorder="1"/>
    <xf numFmtId="0" fontId="9" fillId="0" borderId="1" xfId="0" applyFont="1" applyBorder="1"/>
    <xf numFmtId="167" fontId="9" fillId="0" borderId="1" xfId="0" applyNumberFormat="1" applyFont="1" applyBorder="1"/>
    <xf numFmtId="171" fontId="10" fillId="0" borderId="0" xfId="0" applyNumberFormat="1" applyFont="1"/>
    <xf numFmtId="166" fontId="17" fillId="0" borderId="1" xfId="0" applyNumberFormat="1" applyFont="1" applyBorder="1" applyAlignment="1">
      <alignment horizontal="center" vertical="center" wrapText="1"/>
    </xf>
    <xf numFmtId="0" fontId="22" fillId="0" borderId="0" xfId="0" applyFont="1"/>
    <xf numFmtId="2" fontId="7" fillId="0" borderId="1" xfId="2" applyNumberFormat="1" applyFont="1" applyBorder="1"/>
    <xf numFmtId="167" fontId="7" fillId="0" borderId="1" xfId="0" applyNumberFormat="1" applyFont="1" applyBorder="1"/>
    <xf numFmtId="0" fontId="8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7" fillId="0" borderId="19" xfId="1" applyNumberFormat="1" applyFont="1" applyBorder="1"/>
    <xf numFmtId="165" fontId="7" fillId="0" borderId="7" xfId="1" applyNumberFormat="1" applyFont="1" applyBorder="1"/>
    <xf numFmtId="165" fontId="7" fillId="0" borderId="17" xfId="1" applyNumberFormat="1" applyFont="1" applyBorder="1"/>
    <xf numFmtId="165" fontId="7" fillId="0" borderId="3" xfId="1" applyNumberFormat="1" applyFont="1" applyBorder="1"/>
    <xf numFmtId="165" fontId="8" fillId="0" borderId="19" xfId="0" applyNumberFormat="1" applyFont="1" applyBorder="1"/>
    <xf numFmtId="168" fontId="7" fillId="2" borderId="1" xfId="0" applyNumberFormat="1" applyFont="1" applyFill="1" applyBorder="1"/>
    <xf numFmtId="166" fontId="7" fillId="0" borderId="3" xfId="1" applyNumberFormat="1" applyFont="1" applyBorder="1"/>
    <xf numFmtId="165" fontId="8" fillId="0" borderId="1" xfId="0" applyNumberFormat="1" applyFont="1" applyBorder="1"/>
    <xf numFmtId="170" fontId="7" fillId="0" borderId="1" xfId="2" applyNumberFormat="1" applyFont="1" applyBorder="1"/>
    <xf numFmtId="168" fontId="7" fillId="0" borderId="1" xfId="0" applyNumberFormat="1" applyFont="1" applyBorder="1"/>
    <xf numFmtId="168" fontId="7" fillId="2" borderId="1" xfId="2" applyNumberFormat="1" applyFont="1" applyFill="1" applyBorder="1"/>
    <xf numFmtId="168" fontId="7" fillId="2" borderId="0" xfId="0" applyNumberFormat="1" applyFont="1" applyFill="1"/>
    <xf numFmtId="9" fontId="9" fillId="0" borderId="1" xfId="2" applyFont="1" applyBorder="1"/>
    <xf numFmtId="0" fontId="15" fillId="0" borderId="0" xfId="0" applyFont="1" applyAlignment="1">
      <alignment horizontal="center"/>
    </xf>
    <xf numFmtId="9" fontId="9" fillId="0" borderId="1" xfId="0" applyNumberFormat="1" applyFont="1" applyBorder="1"/>
    <xf numFmtId="1" fontId="15" fillId="0" borderId="1" xfId="0" applyNumberFormat="1" applyFont="1" applyBorder="1"/>
    <xf numFmtId="1" fontId="15" fillId="0" borderId="1" xfId="0" applyNumberFormat="1" applyFont="1" applyBorder="1" applyAlignment="1">
      <alignment horizontal="center"/>
    </xf>
    <xf numFmtId="172" fontId="7" fillId="0" borderId="0" xfId="0" applyNumberFormat="1" applyFont="1"/>
    <xf numFmtId="174" fontId="9" fillId="0" borderId="1" xfId="0" applyNumberFormat="1" applyFont="1" applyBorder="1"/>
    <xf numFmtId="166" fontId="7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15" fontId="0" fillId="0" borderId="0" xfId="0" applyNumberFormat="1" applyAlignment="1">
      <alignment horizontal="right"/>
    </xf>
    <xf numFmtId="0" fontId="18" fillId="0" borderId="1" xfId="0" applyFont="1" applyBorder="1" applyAlignment="1">
      <alignment horizontal="left"/>
    </xf>
    <xf numFmtId="0" fontId="7" fillId="0" borderId="10" xfId="0" applyFont="1" applyBorder="1"/>
    <xf numFmtId="0" fontId="7" fillId="0" borderId="11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33" xfId="0" applyFont="1" applyBorder="1"/>
    <xf numFmtId="0" fontId="7" fillId="0" borderId="32" xfId="0" applyFont="1" applyBorder="1"/>
    <xf numFmtId="0" fontId="7" fillId="0" borderId="34" xfId="0" applyFont="1" applyBorder="1"/>
    <xf numFmtId="0" fontId="7" fillId="0" borderId="35" xfId="0" applyFont="1" applyBorder="1"/>
    <xf numFmtId="169" fontId="9" fillId="0" borderId="0" xfId="0" applyNumberFormat="1" applyFont="1"/>
    <xf numFmtId="169" fontId="8" fillId="0" borderId="8" xfId="0" applyNumberFormat="1" applyFont="1" applyBorder="1"/>
    <xf numFmtId="169" fontId="8" fillId="0" borderId="9" xfId="0" applyNumberFormat="1" applyFont="1" applyBorder="1"/>
    <xf numFmtId="175" fontId="7" fillId="0" borderId="1" xfId="2" applyNumberFormat="1" applyFont="1" applyBorder="1"/>
    <xf numFmtId="3" fontId="8" fillId="0" borderId="1" xfId="0" applyNumberFormat="1" applyFont="1" applyBorder="1"/>
    <xf numFmtId="3" fontId="8" fillId="0" borderId="8" xfId="0" applyNumberFormat="1" applyFont="1" applyBorder="1"/>
    <xf numFmtId="168" fontId="8" fillId="0" borderId="26" xfId="2" applyNumberFormat="1" applyFont="1" applyBorder="1"/>
    <xf numFmtId="9" fontId="9" fillId="0" borderId="2" xfId="2" applyFont="1" applyBorder="1"/>
    <xf numFmtId="9" fontId="9" fillId="0" borderId="30" xfId="2" applyFont="1" applyBorder="1"/>
    <xf numFmtId="9" fontId="9" fillId="0" borderId="10" xfId="2" applyFont="1" applyBorder="1"/>
    <xf numFmtId="9" fontId="9" fillId="0" borderId="6" xfId="2" applyFont="1" applyBorder="1"/>
    <xf numFmtId="9" fontId="16" fillId="0" borderId="8" xfId="0" applyNumberFormat="1" applyFont="1" applyBorder="1"/>
    <xf numFmtId="9" fontId="15" fillId="0" borderId="26" xfId="0" applyNumberFormat="1" applyFont="1" applyBorder="1"/>
    <xf numFmtId="165" fontId="7" fillId="0" borderId="1" xfId="1" applyNumberFormat="1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8" fillId="3" borderId="29" xfId="0" applyFont="1" applyFill="1" applyBorder="1"/>
    <xf numFmtId="9" fontId="9" fillId="3" borderId="1" xfId="2" applyFont="1" applyFill="1" applyBorder="1"/>
    <xf numFmtId="9" fontId="9" fillId="3" borderId="1" xfId="0" applyNumberFormat="1" applyFont="1" applyFill="1" applyBorder="1"/>
    <xf numFmtId="9" fontId="7" fillId="3" borderId="1" xfId="2" applyFont="1" applyFill="1" applyBorder="1" applyAlignment="1">
      <alignment horizontal="center"/>
    </xf>
    <xf numFmtId="9" fontId="15" fillId="3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/>
    </xf>
    <xf numFmtId="0" fontId="1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0" fontId="7" fillId="3" borderId="1" xfId="2" applyNumberFormat="1" applyFont="1" applyFill="1" applyBorder="1"/>
    <xf numFmtId="10" fontId="8" fillId="3" borderId="1" xfId="2" applyNumberFormat="1" applyFont="1" applyFill="1" applyBorder="1"/>
    <xf numFmtId="9" fontId="7" fillId="3" borderId="1" xfId="2" applyFont="1" applyFill="1" applyBorder="1"/>
    <xf numFmtId="9" fontId="8" fillId="3" borderId="1" xfId="2" applyFont="1" applyFill="1" applyBorder="1"/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29" xfId="0" applyFont="1" applyFill="1" applyBorder="1"/>
    <xf numFmtId="0" fontId="4" fillId="3" borderId="29" xfId="0" applyFont="1" applyFill="1" applyBorder="1"/>
    <xf numFmtId="168" fontId="7" fillId="3" borderId="1" xfId="2" applyNumberFormat="1" applyFont="1" applyFill="1" applyBorder="1"/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9" fontId="7" fillId="3" borderId="1" xfId="0" applyNumberFormat="1" applyFont="1" applyFill="1" applyBorder="1"/>
    <xf numFmtId="0" fontId="2" fillId="0" borderId="1" xfId="0" applyFont="1" applyBorder="1" applyAlignment="1">
      <alignment horizontal="center"/>
    </xf>
    <xf numFmtId="9" fontId="15" fillId="0" borderId="1" xfId="0" applyNumberFormat="1" applyFont="1" applyBorder="1" applyAlignment="1">
      <alignment horizontal="center" vertical="center"/>
    </xf>
    <xf numFmtId="0" fontId="15" fillId="0" borderId="3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4" fillId="3" borderId="2" xfId="0" applyFont="1" applyFill="1" applyBorder="1"/>
    <xf numFmtId="0" fontId="8" fillId="3" borderId="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168" fontId="7" fillId="3" borderId="19" xfId="2" applyNumberFormat="1" applyFont="1" applyFill="1" applyBorder="1"/>
    <xf numFmtId="9" fontId="8" fillId="3" borderId="36" xfId="2" applyFont="1" applyFill="1" applyBorder="1"/>
    <xf numFmtId="0" fontId="8" fillId="3" borderId="16" xfId="0" applyFont="1" applyFill="1" applyBorder="1" applyAlignment="1">
      <alignment horizontal="center" vertical="center" wrapText="1"/>
    </xf>
    <xf numFmtId="168" fontId="9" fillId="3" borderId="27" xfId="2" applyNumberFormat="1" applyFont="1" applyFill="1" applyBorder="1"/>
    <xf numFmtId="168" fontId="9" fillId="3" borderId="28" xfId="0" applyNumberFormat="1" applyFont="1" applyFill="1" applyBorder="1"/>
    <xf numFmtId="0" fontId="7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4" fontId="17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1" fontId="8" fillId="3" borderId="1" xfId="5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9" fontId="7" fillId="0" borderId="0" xfId="0" applyNumberFormat="1" applyFont="1" applyAlignment="1">
      <alignment vertical="center" wrapText="1"/>
    </xf>
    <xf numFmtId="9" fontId="7" fillId="0" borderId="0" xfId="0" applyNumberFormat="1" applyFont="1" applyAlignment="1">
      <alignment horizontal="left" vertical="center" wrapText="1"/>
    </xf>
    <xf numFmtId="168" fontId="9" fillId="0" borderId="0" xfId="2" applyNumberFormat="1" applyFont="1" applyAlignment="1">
      <alignment horizontal="left" vertical="center"/>
    </xf>
    <xf numFmtId="168" fontId="7" fillId="0" borderId="1" xfId="0" applyNumberFormat="1" applyFont="1" applyBorder="1" applyAlignment="1">
      <alignment horizontal="center" vertical="center" wrapText="1"/>
    </xf>
    <xf numFmtId="168" fontId="7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5" fontId="7" fillId="0" borderId="1" xfId="1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4" fontId="8" fillId="3" borderId="1" xfId="0" applyNumberFormat="1" applyFont="1" applyFill="1" applyBorder="1" applyAlignment="1">
      <alignment vertical="center"/>
    </xf>
    <xf numFmtId="10" fontId="8" fillId="4" borderId="1" xfId="2" applyNumberFormat="1" applyFont="1" applyFill="1" applyBorder="1" applyAlignment="1">
      <alignment vertical="center"/>
    </xf>
    <xf numFmtId="37" fontId="7" fillId="0" borderId="29" xfId="0" applyNumberFormat="1" applyFont="1" applyBorder="1" applyAlignment="1">
      <alignment vertical="center"/>
    </xf>
    <xf numFmtId="165" fontId="17" fillId="0" borderId="1" xfId="1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165" fontId="8" fillId="3" borderId="1" xfId="1" applyNumberFormat="1" applyFont="1" applyFill="1" applyBorder="1" applyAlignment="1">
      <alignment vertical="center"/>
    </xf>
    <xf numFmtId="166" fontId="8" fillId="3" borderId="1" xfId="1" applyNumberFormat="1" applyFont="1" applyFill="1" applyBorder="1" applyAlignment="1">
      <alignment vertical="center"/>
    </xf>
    <xf numFmtId="9" fontId="8" fillId="4" borderId="1" xfId="2" applyFont="1" applyFill="1" applyBorder="1" applyAlignment="1">
      <alignment vertical="center"/>
    </xf>
    <xf numFmtId="176" fontId="8" fillId="3" borderId="29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173" fontId="13" fillId="0" borderId="0" xfId="0" applyNumberFormat="1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5" fontId="8" fillId="4" borderId="1" xfId="0" applyNumberFormat="1" applyFont="1" applyFill="1" applyBorder="1" applyAlignment="1">
      <alignment vertical="center"/>
    </xf>
    <xf numFmtId="165" fontId="8" fillId="3" borderId="29" xfId="2" applyNumberFormat="1" applyFont="1" applyFill="1" applyBorder="1" applyAlignment="1">
      <alignment vertical="center"/>
    </xf>
    <xf numFmtId="37" fontId="8" fillId="3" borderId="29" xfId="0" applyNumberFormat="1" applyFont="1" applyFill="1" applyBorder="1" applyAlignment="1">
      <alignment vertical="center"/>
    </xf>
  </cellXfs>
  <cellStyles count="15">
    <cellStyle name="Millares" xfId="1" builtinId="3"/>
    <cellStyle name="Millares [0]" xfId="5" builtinId="6"/>
    <cellStyle name="Millares [0] 2" xfId="8" xr:uid="{26064BEC-B293-4444-BE70-58E48877A318}"/>
    <cellStyle name="Millares [0] 3" xfId="12" xr:uid="{B1633352-AA28-4004-A97F-6431A355CD38}"/>
    <cellStyle name="Millares 11 2" xfId="11" xr:uid="{06AA6616-8051-4F22-9113-50AC7864B58C}"/>
    <cellStyle name="Millares 2" xfId="7" xr:uid="{0E2755B9-9668-4966-9441-106A8FC5D71D}"/>
    <cellStyle name="Millares 5" xfId="10" xr:uid="{ED153F7D-41FA-4CCA-81EF-63440FE55143}"/>
    <cellStyle name="Normal" xfId="0" builtinId="0"/>
    <cellStyle name="Normal 10" xfId="9" xr:uid="{0E3D2E6D-FEBD-43D0-BB18-1E479FE3EFEB}"/>
    <cellStyle name="Normal 2" xfId="3" xr:uid="{992A81EA-7E29-4FDE-B6DC-D666B04B75B4}"/>
    <cellStyle name="Normal 2 18" xfId="13" xr:uid="{F4E258E6-A289-4DC8-8824-96F03E2D95BD}"/>
    <cellStyle name="Normal 2 3" xfId="6" xr:uid="{0CC7D755-F874-4330-83E7-CC5154DC507D}"/>
    <cellStyle name="Normal 4" xfId="4" xr:uid="{0D7C20CC-1107-4CB5-A2A2-413B8D4866A7}"/>
    <cellStyle name="Normal 44" xfId="14" xr:uid="{43B99095-E0E0-4066-B486-FD82161426BC}"/>
    <cellStyle name="Porcentaje" xfId="2" builtinId="5"/>
  </cellStyles>
  <dxfs count="0"/>
  <tableStyles count="0" defaultTableStyle="TableStyleMedium2" defaultPivotStyle="PivotStyleLight16"/>
  <colors>
    <mruColors>
      <color rgb="FF66FFCC"/>
      <color rgb="FF0000CC"/>
      <color rgb="FFCC0099"/>
      <color rgb="FFFFCCCC"/>
      <color rgb="FFFFE7A3"/>
      <color rgb="FFFFD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42334</xdr:rowOff>
    </xdr:from>
    <xdr:to>
      <xdr:col>1</xdr:col>
      <xdr:colOff>1182158</xdr:colOff>
      <xdr:row>1</xdr:row>
      <xdr:rowOff>20109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D26E10-0235-48B5-994A-2ECB8FDBC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42334"/>
          <a:ext cx="1264708" cy="1149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3BB1F-8EEC-4421-8BED-C6CACCBEF3F4}">
  <sheetPr>
    <tabColor theme="3" tint="0.39997558519241921"/>
  </sheetPr>
  <dimension ref="A1:S43"/>
  <sheetViews>
    <sheetView tabSelected="1" zoomScale="90" zoomScaleNormal="90" workbookViewId="0">
      <selection activeCell="N38" sqref="N38"/>
    </sheetView>
  </sheetViews>
  <sheetFormatPr baseColWidth="10" defaultRowHeight="12.75" x14ac:dyDescent="0.2"/>
  <cols>
    <col min="1" max="1" width="3.140625" style="10" customWidth="1"/>
    <col min="2" max="2" width="37.7109375" style="10" customWidth="1"/>
    <col min="3" max="4" width="9.42578125" style="10" customWidth="1"/>
    <col min="5" max="5" width="11.7109375" style="10" customWidth="1"/>
    <col min="6" max="6" width="12" style="10" customWidth="1"/>
    <col min="7" max="7" width="11.28515625" style="10" customWidth="1"/>
    <col min="8" max="8" width="13.28515625" style="10" customWidth="1"/>
    <col min="9" max="9" width="10.7109375" style="10" customWidth="1"/>
    <col min="10" max="10" width="10.42578125" style="10" customWidth="1"/>
    <col min="11" max="11" width="11.28515625" style="10" bestFit="1" customWidth="1"/>
    <col min="12" max="12" width="12.42578125" style="10" bestFit="1" customWidth="1"/>
    <col min="13" max="13" width="11.28515625" style="10" customWidth="1"/>
    <col min="14" max="14" width="7.7109375" style="10" bestFit="1" customWidth="1"/>
    <col min="15" max="15" width="13.42578125" style="10" customWidth="1"/>
    <col min="16" max="17" width="11.140625" style="10" customWidth="1"/>
    <col min="18" max="18" width="6.28515625" style="10" bestFit="1" customWidth="1"/>
    <col min="19" max="19" width="29.42578125" style="10" bestFit="1" customWidth="1"/>
    <col min="20" max="16384" width="11.42578125" style="10"/>
  </cols>
  <sheetData>
    <row r="1" spans="1:19" ht="92.25" customHeight="1" x14ac:dyDescent="0.2"/>
    <row r="2" spans="1:19" ht="8.25" customHeight="1" x14ac:dyDescent="0.2"/>
    <row r="3" spans="1:19" ht="17.25" x14ac:dyDescent="0.2">
      <c r="A3" s="160"/>
      <c r="B3" s="161" t="s">
        <v>131</v>
      </c>
      <c r="C3" s="161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19" ht="17.25" x14ac:dyDescent="0.2">
      <c r="A4" s="160"/>
      <c r="B4" s="161" t="s">
        <v>132</v>
      </c>
      <c r="C4" s="161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</row>
    <row r="5" spans="1:19" ht="15" x14ac:dyDescent="0.2">
      <c r="A5" s="160"/>
      <c r="B5" s="162" t="s">
        <v>134</v>
      </c>
      <c r="C5" s="162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</row>
    <row r="6" spans="1:19" ht="15" x14ac:dyDescent="0.2">
      <c r="A6" s="160"/>
      <c r="B6" s="162" t="s">
        <v>133</v>
      </c>
      <c r="C6" s="162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</row>
    <row r="7" spans="1:19" x14ac:dyDescent="0.2">
      <c r="A7" s="160"/>
      <c r="B7" s="163" t="s">
        <v>144</v>
      </c>
      <c r="C7" s="163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</row>
    <row r="8" spans="1:19" x14ac:dyDescent="0.2">
      <c r="A8" s="160"/>
      <c r="B8" s="164" t="s">
        <v>146</v>
      </c>
      <c r="C8" s="164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</row>
    <row r="9" spans="1:19" x14ac:dyDescent="0.2">
      <c r="A9" s="160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</row>
    <row r="10" spans="1:19" ht="15" x14ac:dyDescent="0.2">
      <c r="A10" s="160"/>
      <c r="B10" s="115" t="s">
        <v>135</v>
      </c>
      <c r="C10" s="115" t="s">
        <v>70</v>
      </c>
      <c r="D10" s="160"/>
      <c r="E10" s="160"/>
      <c r="F10" s="160"/>
      <c r="G10" s="112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</row>
    <row r="11" spans="1:19" x14ac:dyDescent="0.2">
      <c r="A11" s="160"/>
      <c r="B11" s="165" t="s">
        <v>71</v>
      </c>
      <c r="C11" s="166">
        <v>9202947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</row>
    <row r="12" spans="1:19" x14ac:dyDescent="0.2">
      <c r="A12" s="160"/>
      <c r="B12" s="165" t="s">
        <v>72</v>
      </c>
      <c r="C12" s="166">
        <v>0</v>
      </c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</row>
    <row r="13" spans="1:19" ht="15" x14ac:dyDescent="0.2">
      <c r="A13" s="160"/>
      <c r="B13" s="167" t="s">
        <v>105</v>
      </c>
      <c r="C13" s="168">
        <f>SUM(C11:C12)</f>
        <v>9202947</v>
      </c>
      <c r="D13" s="160"/>
      <c r="E13" s="160"/>
      <c r="F13" s="160"/>
      <c r="G13" s="112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</row>
    <row r="14" spans="1:19" ht="18" customHeight="1" x14ac:dyDescent="0.2">
      <c r="A14" s="160"/>
      <c r="B14" s="169"/>
      <c r="C14" s="169"/>
      <c r="D14" s="170"/>
      <c r="E14" s="160"/>
      <c r="F14" s="160"/>
      <c r="G14" s="160"/>
      <c r="H14" s="160"/>
      <c r="I14" s="160"/>
      <c r="J14" s="171"/>
      <c r="K14" s="172"/>
      <c r="L14" s="160"/>
      <c r="M14" s="160"/>
      <c r="N14" s="160"/>
      <c r="O14" s="160"/>
      <c r="P14" s="160"/>
      <c r="Q14" s="160"/>
      <c r="R14" s="160"/>
      <c r="S14" s="160"/>
    </row>
    <row r="15" spans="1:19" x14ac:dyDescent="0.2">
      <c r="A15" s="160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</row>
    <row r="16" spans="1:19" ht="25.5" customHeight="1" x14ac:dyDescent="0.2">
      <c r="A16" s="160"/>
      <c r="B16" s="169"/>
      <c r="C16" s="169"/>
      <c r="D16" s="173"/>
      <c r="E16" s="174">
        <v>0.25</v>
      </c>
      <c r="F16" s="174">
        <v>0.25</v>
      </c>
      <c r="G16" s="174">
        <v>0.1</v>
      </c>
      <c r="H16" s="174">
        <v>0.1</v>
      </c>
      <c r="I16" s="174">
        <v>0.1</v>
      </c>
      <c r="J16" s="174">
        <v>0.1</v>
      </c>
      <c r="K16" s="174">
        <v>0.1</v>
      </c>
      <c r="L16" s="175">
        <f>SUM(E16:K16)</f>
        <v>0.99999999999999989</v>
      </c>
      <c r="M16" s="160"/>
      <c r="N16" s="160"/>
      <c r="O16" s="160"/>
      <c r="P16" s="160"/>
      <c r="Q16" s="160"/>
      <c r="R16" s="160"/>
      <c r="S16" s="160"/>
    </row>
    <row r="17" spans="1:19" ht="25.5" x14ac:dyDescent="0.2">
      <c r="A17" s="176"/>
      <c r="B17" s="176"/>
      <c r="C17" s="176"/>
      <c r="D17" s="11" t="s">
        <v>15</v>
      </c>
      <c r="E17" s="54">
        <f t="shared" ref="E17:K17" si="0">$C$13*E16</f>
        <v>2300736.75</v>
      </c>
      <c r="F17" s="54">
        <f t="shared" si="0"/>
        <v>2300736.75</v>
      </c>
      <c r="G17" s="54">
        <f t="shared" si="0"/>
        <v>920294.70000000007</v>
      </c>
      <c r="H17" s="54">
        <f t="shared" si="0"/>
        <v>920294.70000000007</v>
      </c>
      <c r="I17" s="54">
        <f t="shared" si="0"/>
        <v>920294.70000000007</v>
      </c>
      <c r="J17" s="54">
        <f t="shared" si="0"/>
        <v>920294.70000000007</v>
      </c>
      <c r="K17" s="54">
        <f t="shared" si="0"/>
        <v>920294.70000000007</v>
      </c>
      <c r="L17" s="82">
        <f>SUM(E17:K17)</f>
        <v>9202947</v>
      </c>
      <c r="M17" s="176"/>
      <c r="N17" s="176"/>
      <c r="O17" s="176"/>
      <c r="P17" s="176"/>
      <c r="Q17" s="160"/>
      <c r="R17" s="176"/>
      <c r="S17" s="160"/>
    </row>
    <row r="18" spans="1:19" ht="63.75" x14ac:dyDescent="0.2">
      <c r="A18" s="13" t="s">
        <v>20</v>
      </c>
      <c r="B18" s="4" t="s">
        <v>1</v>
      </c>
      <c r="C18" s="11" t="s">
        <v>143</v>
      </c>
      <c r="D18" s="13" t="s">
        <v>142</v>
      </c>
      <c r="E18" s="109" t="s">
        <v>69</v>
      </c>
      <c r="F18" s="109" t="s">
        <v>16</v>
      </c>
      <c r="G18" s="109" t="s">
        <v>17</v>
      </c>
      <c r="H18" s="109" t="s">
        <v>68</v>
      </c>
      <c r="I18" s="109" t="s">
        <v>21</v>
      </c>
      <c r="J18" s="109" t="s">
        <v>19</v>
      </c>
      <c r="K18" s="109" t="s">
        <v>18</v>
      </c>
      <c r="L18" s="109" t="s">
        <v>22</v>
      </c>
      <c r="M18" s="110" t="s">
        <v>97</v>
      </c>
      <c r="N18" s="110" t="s">
        <v>136</v>
      </c>
      <c r="O18" s="109" t="s">
        <v>145</v>
      </c>
      <c r="P18" s="109" t="s">
        <v>137</v>
      </c>
      <c r="Q18" s="109" t="s">
        <v>138</v>
      </c>
      <c r="R18" s="13" t="s">
        <v>142</v>
      </c>
      <c r="S18" s="122" t="s">
        <v>139</v>
      </c>
    </row>
    <row r="19" spans="1:19" x14ac:dyDescent="0.2">
      <c r="A19" s="165">
        <v>1</v>
      </c>
      <c r="B19" s="177" t="s">
        <v>3</v>
      </c>
      <c r="C19" s="178">
        <v>3</v>
      </c>
      <c r="D19" s="165" t="s">
        <v>2</v>
      </c>
      <c r="E19" s="179">
        <f>VLOOKUP(D19,'I.Acreditación Institucional'!$C$5:$K$16,9,0)*$E$17</f>
        <v>521500.3299999999</v>
      </c>
      <c r="F19" s="179">
        <f>VLOOKUP(D19,'II.Doctorados Acreditados'!$C$6:$K$16,9,0)*$F$17</f>
        <v>706366.54605263157</v>
      </c>
      <c r="G19" s="179">
        <f>VLOOKUP(D19,'III. Planta Académica'!$AE$4:$AH$14,4,0)*$G$17</f>
        <v>107180.14953536807</v>
      </c>
      <c r="H19" s="179">
        <f>VLOOKUP(D19,'IV. Publicaciones por acad.'!$C$4:$G$14,5,0)*$H$17</f>
        <v>150611.76213260871</v>
      </c>
      <c r="I19" s="180">
        <f>VLOOKUP(D19,V.Citas!$C$4:$G$16,5,0)*$I$17</f>
        <v>114784.15546860364</v>
      </c>
      <c r="J19" s="179">
        <f>VLOOKUP(D19,'VI. Proyectos'!$C$4:$E$14,3,0)*$J$17</f>
        <v>195314.34280575541</v>
      </c>
      <c r="K19" s="179">
        <f>(VLOOKUP(D19,'VII. Publicaciones'!$O$5:$R$16,2,0)*$K$17)+(VLOOKUP(D19,'VII. Publicaciones'!$O$5:$R$17,3,0)*$K$17)</f>
        <v>130077.43679357927</v>
      </c>
      <c r="L19" s="181">
        <f>SUM(E19:K19)</f>
        <v>1925834.7227885465</v>
      </c>
      <c r="M19" s="194">
        <f t="shared" ref="M19:M29" si="1">TRUNC(L19,0)</f>
        <v>1925834</v>
      </c>
      <c r="N19" s="182">
        <f>M19/$M$30</f>
        <v>0.20926286398414767</v>
      </c>
      <c r="O19" s="195">
        <f>+M19</f>
        <v>1925834</v>
      </c>
      <c r="P19" s="183">
        <f>+O19</f>
        <v>1925834</v>
      </c>
      <c r="Q19" s="183">
        <v>0</v>
      </c>
      <c r="R19" s="178" t="str">
        <f t="shared" ref="R19:R29" si="2">+D19</f>
        <v>UDP</v>
      </c>
      <c r="S19" s="184" t="s">
        <v>140</v>
      </c>
    </row>
    <row r="20" spans="1:19" x14ac:dyDescent="0.2">
      <c r="A20" s="165">
        <v>2</v>
      </c>
      <c r="B20" s="177" t="s">
        <v>5</v>
      </c>
      <c r="C20" s="178">
        <v>69</v>
      </c>
      <c r="D20" s="165" t="s">
        <v>4</v>
      </c>
      <c r="E20" s="179">
        <f>VLOOKUP(D20,'I.Acreditación Institucional'!$C$5:$K$16,9,0)*$E$17</f>
        <v>506162.08500000002</v>
      </c>
      <c r="F20" s="179">
        <f>VLOOKUP(D20,'II.Doctorados Acreditados'!$C$6:$K$16,9,0)*$F$17</f>
        <v>605457.03947368416</v>
      </c>
      <c r="G20" s="179">
        <f>VLOOKUP(D20,'III. Planta Académica'!$AE$4:$AH$14,4,0)*$G$17</f>
        <v>128054.62952843404</v>
      </c>
      <c r="H20" s="179">
        <f>VLOOKUP(D20,'IV. Publicaciones por acad.'!$C$4:$G$14,5,0)*$H$17</f>
        <v>110463.0845869989</v>
      </c>
      <c r="I20" s="180">
        <f>VLOOKUP(D20,V.Citas!$C$4:$G$16,5,0)*$I$17</f>
        <v>39059.810305467479</v>
      </c>
      <c r="J20" s="179">
        <f>VLOOKUP(D20,'VI. Proyectos'!$C$4:$E$14,3,0)*$J$17</f>
        <v>125795.6784172662</v>
      </c>
      <c r="K20" s="179">
        <f>(VLOOKUP(D20,'VII. Publicaciones'!$O$5:$R$16,2,0)*$K$17)+(VLOOKUP(D20,'VII. Publicaciones'!$O$5:$R$17,3,0)*$K$17)</f>
        <v>69117.673324439354</v>
      </c>
      <c r="L20" s="181">
        <f t="shared" ref="L20:L29" si="3">SUM(E20:K20)</f>
        <v>1584110.0006362903</v>
      </c>
      <c r="M20" s="194">
        <f t="shared" si="1"/>
        <v>1584110</v>
      </c>
      <c r="N20" s="182">
        <f t="shared" ref="N20:N29" si="4">M20/$M$30</f>
        <v>0.17213082512092329</v>
      </c>
      <c r="O20" s="195">
        <f t="shared" ref="O20:O29" si="5">+M20</f>
        <v>1584110</v>
      </c>
      <c r="P20" s="183">
        <f t="shared" ref="P20:P29" si="6">+O20</f>
        <v>1584110</v>
      </c>
      <c r="Q20" s="183">
        <v>0</v>
      </c>
      <c r="R20" s="178" t="str">
        <f t="shared" si="2"/>
        <v>UAH</v>
      </c>
      <c r="S20" s="184" t="s">
        <v>140</v>
      </c>
    </row>
    <row r="21" spans="1:19" x14ac:dyDescent="0.2">
      <c r="A21" s="165">
        <v>3</v>
      </c>
      <c r="B21" s="177" t="s">
        <v>9</v>
      </c>
      <c r="C21" s="178">
        <v>31</v>
      </c>
      <c r="D21" s="165" t="s">
        <v>8</v>
      </c>
      <c r="E21" s="179">
        <f>VLOOKUP(D21,'I.Acreditación Institucional'!$C$5:$K$16,9,0)*$E$17</f>
        <v>291426.65499999997</v>
      </c>
      <c r="F21" s="179">
        <f>VLOOKUP(D21,'II.Doctorados Acreditados'!$C$6:$K$16,9,0)*$F$17</f>
        <v>302728.51973684208</v>
      </c>
      <c r="G21" s="179">
        <f>VLOOKUP(D21,'III. Planta Académica'!$AE$4:$AH$14,4,0)*$G$17</f>
        <v>95895.877413567185</v>
      </c>
      <c r="H21" s="179">
        <f>VLOOKUP(D21,'IV. Publicaciones por acad.'!$C$4:$G$14,5,0)*$H$17</f>
        <v>101921.45021085325</v>
      </c>
      <c r="I21" s="180">
        <f>VLOOKUP(D21,V.Citas!$C$4:$G$16,5,0)*$I$17</f>
        <v>132027.37214104066</v>
      </c>
      <c r="J21" s="179">
        <f>VLOOKUP(D21,'VI. Proyectos'!$C$4:$E$14,3,0)*$J$17</f>
        <v>144002.94766187051</v>
      </c>
      <c r="K21" s="179">
        <f>(VLOOKUP(D21,'VII. Publicaciones'!$O$5:$R$16,2,0)*$K$17)+(VLOOKUP(D21,'VII. Publicaciones'!$O$5:$R$17,3,0)*$K$17)</f>
        <v>152782.0045340345</v>
      </c>
      <c r="L21" s="181">
        <f t="shared" si="3"/>
        <v>1220784.8266982082</v>
      </c>
      <c r="M21" s="194">
        <f t="shared" si="1"/>
        <v>1220784</v>
      </c>
      <c r="N21" s="182">
        <f t="shared" si="4"/>
        <v>0.13265149340287052</v>
      </c>
      <c r="O21" s="195">
        <f t="shared" si="5"/>
        <v>1220784</v>
      </c>
      <c r="P21" s="183">
        <f t="shared" si="6"/>
        <v>1220784</v>
      </c>
      <c r="Q21" s="183">
        <v>0</v>
      </c>
      <c r="R21" s="178" t="str">
        <f t="shared" si="2"/>
        <v>UAU</v>
      </c>
      <c r="S21" s="184" t="s">
        <v>141</v>
      </c>
    </row>
    <row r="22" spans="1:19" x14ac:dyDescent="0.2">
      <c r="A22" s="165">
        <v>4</v>
      </c>
      <c r="B22" s="177" t="s">
        <v>11</v>
      </c>
      <c r="C22" s="178">
        <v>2</v>
      </c>
      <c r="D22" s="165" t="s">
        <v>10</v>
      </c>
      <c r="E22" s="179">
        <f>VLOOKUP(D22,'I.Acreditación Institucional'!$C$5:$K$16,9,0)*$E$17</f>
        <v>291426.65499999997</v>
      </c>
      <c r="F22" s="179">
        <f>VLOOKUP(D22,'II.Doctorados Acreditados'!$C$6:$K$16,9,0)*$F$17</f>
        <v>121091.40789473684</v>
      </c>
      <c r="G22" s="179">
        <f>VLOOKUP(D22,'III. Planta Académica'!$AE$4:$AH$14,4,0)*$G$17</f>
        <v>82678.997288893734</v>
      </c>
      <c r="H22" s="179">
        <f>VLOOKUP(D22,'IV. Publicaciones por acad.'!$C$4:$G$14,5,0)*$H$17</f>
        <v>92280.208817596649</v>
      </c>
      <c r="I22" s="180">
        <f>VLOOKUP(D22,V.Citas!$C$4:$G$16,5,0)*$I$17</f>
        <v>76959.301512259175</v>
      </c>
      <c r="J22" s="179">
        <f>VLOOKUP(D22,'VI. Proyectos'!$C$4:$E$14,3,0)*$J$17</f>
        <v>39724.951079136699</v>
      </c>
      <c r="K22" s="179">
        <f>(VLOOKUP(D22,'VII. Publicaciones'!$O$5:$R$16,2,0)*$K$17)+(VLOOKUP(D22,'VII. Publicaciones'!$O$5:$R$17,3,0)*$K$17)</f>
        <v>64892.137593559411</v>
      </c>
      <c r="L22" s="181">
        <f t="shared" si="3"/>
        <v>769053.65918618254</v>
      </c>
      <c r="M22" s="194">
        <f t="shared" si="1"/>
        <v>769053</v>
      </c>
      <c r="N22" s="182">
        <f t="shared" si="4"/>
        <v>8.3565994439604205E-2</v>
      </c>
      <c r="O22" s="195">
        <f t="shared" si="5"/>
        <v>769053</v>
      </c>
      <c r="P22" s="183">
        <f t="shared" si="6"/>
        <v>769053</v>
      </c>
      <c r="Q22" s="183">
        <v>0</v>
      </c>
      <c r="R22" s="178" t="str">
        <f t="shared" si="2"/>
        <v>UFT</v>
      </c>
      <c r="S22" s="184" t="s">
        <v>140</v>
      </c>
    </row>
    <row r="23" spans="1:19" x14ac:dyDescent="0.2">
      <c r="A23" s="165">
        <v>5</v>
      </c>
      <c r="B23" s="177" t="s">
        <v>13</v>
      </c>
      <c r="C23" s="178">
        <v>11</v>
      </c>
      <c r="D23" s="165" t="s">
        <v>12</v>
      </c>
      <c r="E23" s="179">
        <f>VLOOKUP(D23,'I.Acreditación Institucional'!$C$5:$K$16,9,0)*$E$17</f>
        <v>61352.98</v>
      </c>
      <c r="F23" s="179">
        <f>VLOOKUP(D23,'II.Doctorados Acreditados'!$C$6:$K$16,9,0)*$F$17</f>
        <v>0</v>
      </c>
      <c r="G23" s="179">
        <f>VLOOKUP(D23,'III. Planta Académica'!$AE$4:$AH$14,4,0)*$G$17</f>
        <v>58000.681456615552</v>
      </c>
      <c r="H23" s="179">
        <f>VLOOKUP(D23,'IV. Publicaciones por acad.'!$C$4:$G$14,5,0)*$H$17</f>
        <v>66609.823388836448</v>
      </c>
      <c r="I23" s="180">
        <f>VLOOKUP(D23,V.Citas!$C$4:$G$16,5,0)*$I$17</f>
        <v>22700.038208657286</v>
      </c>
      <c r="J23" s="179">
        <f>VLOOKUP(D23,'VI. Proyectos'!$C$4:$E$14,3,0)*$J$17</f>
        <v>18207.269244604315</v>
      </c>
      <c r="K23" s="179">
        <f>(VLOOKUP(D23,'VII. Publicaciones'!$O$5:$R$16,2,0)*$K$17)+(VLOOKUP(D23,'VII. Publicaciones'!$O$5:$R$17,3,0)*$K$17)</f>
        <v>8388.3127782646807</v>
      </c>
      <c r="L23" s="181">
        <f t="shared" si="3"/>
        <v>235259.1050769783</v>
      </c>
      <c r="M23" s="194">
        <f t="shared" si="1"/>
        <v>235259</v>
      </c>
      <c r="N23" s="182">
        <f t="shared" si="4"/>
        <v>2.5563455686235987E-2</v>
      </c>
      <c r="O23" s="195">
        <f t="shared" si="5"/>
        <v>235259</v>
      </c>
      <c r="P23" s="183">
        <f t="shared" si="6"/>
        <v>235259</v>
      </c>
      <c r="Q23" s="183">
        <v>0</v>
      </c>
      <c r="R23" s="178" t="str">
        <f t="shared" si="2"/>
        <v>AHC</v>
      </c>
      <c r="S23" s="184" t="s">
        <v>140</v>
      </c>
    </row>
    <row r="24" spans="1:19" x14ac:dyDescent="0.2">
      <c r="A24" s="165">
        <v>6</v>
      </c>
      <c r="B24" s="177" t="s">
        <v>7</v>
      </c>
      <c r="C24" s="178">
        <v>42</v>
      </c>
      <c r="D24" s="165" t="s">
        <v>6</v>
      </c>
      <c r="E24" s="179">
        <f>VLOOKUP(D24,'I.Acreditación Institucional'!$C$5:$K$16,9,0)*$E$17</f>
        <v>61352.98</v>
      </c>
      <c r="F24" s="179">
        <f>VLOOKUP(D24,'II.Doctorados Acreditados'!$C$6:$K$16,9,0)*$F$17</f>
        <v>60545.70394736842</v>
      </c>
      <c r="G24" s="179">
        <f>VLOOKUP(D24,'III. Planta Académica'!$AE$4:$AH$14,4,0)*$G$17</f>
        <v>99317.230494613003</v>
      </c>
      <c r="H24" s="179">
        <f>VLOOKUP(D24,'IV. Publicaciones por acad.'!$C$4:$G$14,5,0)*$H$17</f>
        <v>61869.209064015835</v>
      </c>
      <c r="I24" s="180">
        <f>VLOOKUP(D24,V.Citas!$C$4:$G$16,5,0)*$I$17</f>
        <v>32956.634419907205</v>
      </c>
      <c r="J24" s="179">
        <f>VLOOKUP(D24,'VI. Proyectos'!$C$4:$E$14,3,0)*$J$17</f>
        <v>46345.77625899281</v>
      </c>
      <c r="K24" s="179">
        <f>(VLOOKUP(D24,'VII. Publicaciones'!$O$5:$R$16,2,0)*$K$17)+(VLOOKUP(D24,'VII. Publicaciones'!$O$5:$R$17,3,0)*$K$17)</f>
        <v>54193.978175539014</v>
      </c>
      <c r="L24" s="181">
        <f t="shared" si="3"/>
        <v>416581.51236043626</v>
      </c>
      <c r="M24" s="194">
        <f t="shared" si="1"/>
        <v>416581</v>
      </c>
      <c r="N24" s="182">
        <f t="shared" si="4"/>
        <v>4.5266068176893867E-2</v>
      </c>
      <c r="O24" s="195">
        <f t="shared" si="5"/>
        <v>416581</v>
      </c>
      <c r="P24" s="183">
        <f t="shared" si="6"/>
        <v>416581</v>
      </c>
      <c r="Q24" s="183">
        <v>0</v>
      </c>
      <c r="R24" s="178" t="str">
        <f t="shared" si="2"/>
        <v>UCS</v>
      </c>
      <c r="S24" s="184" t="s">
        <v>140</v>
      </c>
    </row>
    <row r="25" spans="1:19" x14ac:dyDescent="0.2">
      <c r="A25" s="165">
        <v>7</v>
      </c>
      <c r="B25" s="177" t="s">
        <v>84</v>
      </c>
      <c r="C25" s="178">
        <v>13</v>
      </c>
      <c r="D25" s="165" t="s">
        <v>83</v>
      </c>
      <c r="E25" s="179">
        <f>VLOOKUP(D25,'I.Acreditación Institucional'!$C$5:$K$16,9,0)*$E$17</f>
        <v>61352.98</v>
      </c>
      <c r="F25" s="179">
        <f>VLOOKUP(D25,'II.Doctorados Acreditados'!$C$6:$K$16,9,0)*$F$17</f>
        <v>40363.802631578947</v>
      </c>
      <c r="G25" s="179">
        <f>VLOOKUP(D25,'III. Planta Académica'!$AE$4:$AH$14,4,0)*$G$17</f>
        <v>83046.472254723209</v>
      </c>
      <c r="H25" s="179">
        <f>VLOOKUP(D25,'IV. Publicaciones por acad.'!$C$4:$G$14,5,0)*$H$17</f>
        <v>50171.622429569965</v>
      </c>
      <c r="I25" s="180">
        <f>VLOOKUP(D25,V.Citas!$C$4:$G$16,5,0)*$I$17</f>
        <v>69860.970549739068</v>
      </c>
      <c r="J25" s="179">
        <f>VLOOKUP(D25,'VI. Proyectos'!$C$4:$E$14,3,0)*$J$17</f>
        <v>61242.632913669069</v>
      </c>
      <c r="K25" s="179">
        <f>(VLOOKUP(D25,'VII. Publicaciones'!$O$5:$R$16,2,0)*$K$17)+(VLOOKUP(D25,'VII. Publicaciones'!$O$5:$R$17,3,0)*$K$17)</f>
        <v>92545.333914940289</v>
      </c>
      <c r="L25" s="181">
        <f t="shared" si="3"/>
        <v>458583.81469422055</v>
      </c>
      <c r="M25" s="194">
        <f t="shared" si="1"/>
        <v>458583</v>
      </c>
      <c r="N25" s="182">
        <f t="shared" si="4"/>
        <v>4.9830043479574246E-2</v>
      </c>
      <c r="O25" s="195">
        <f t="shared" si="5"/>
        <v>458583</v>
      </c>
      <c r="P25" s="183">
        <f t="shared" si="6"/>
        <v>458583</v>
      </c>
      <c r="Q25" s="183">
        <v>0</v>
      </c>
      <c r="R25" s="178" t="str">
        <f t="shared" si="2"/>
        <v>UST</v>
      </c>
      <c r="S25" s="184" t="s">
        <v>140</v>
      </c>
    </row>
    <row r="26" spans="1:19" x14ac:dyDescent="0.2">
      <c r="A26" s="165">
        <v>8</v>
      </c>
      <c r="B26" s="177" t="s">
        <v>76</v>
      </c>
      <c r="C26" s="178">
        <v>50</v>
      </c>
      <c r="D26" s="165" t="s">
        <v>77</v>
      </c>
      <c r="E26" s="179">
        <f>VLOOKUP(D26,'I.Acreditación Institucional'!$C$5:$K$16,9,0)*$E$17</f>
        <v>61352.98</v>
      </c>
      <c r="F26" s="179">
        <f>VLOOKUP(D26,'II.Doctorados Acreditados'!$C$6:$K$16,9,0)*$F$17</f>
        <v>100909.50657894736</v>
      </c>
      <c r="G26" s="179">
        <f>VLOOKUP(D26,'III. Planta Académica'!$AE$4:$AH$14,4,0)*$G$17</f>
        <v>66696.540466017235</v>
      </c>
      <c r="H26" s="179">
        <f>VLOOKUP(D26,'IV. Publicaciones por acad.'!$C$4:$G$14,5,0)*$H$17</f>
        <v>107867.51737826905</v>
      </c>
      <c r="I26" s="180">
        <f>VLOOKUP(D26,V.Citas!$C$4:$G$16,5,0)*$I$17</f>
        <v>69307.436565182448</v>
      </c>
      <c r="J26" s="179">
        <f>VLOOKUP(D26,'VI. Proyectos'!$C$4:$E$14,3,0)*$J$17</f>
        <v>44690.569964028786</v>
      </c>
      <c r="K26" s="179">
        <f>(VLOOKUP(D26,'VII. Publicaciones'!$O$5:$R$16,2,0)*$K$17)+(VLOOKUP(D26,'VII. Publicaciones'!$O$5:$R$17,3,0)*$K$17)</f>
        <v>88680.464013247096</v>
      </c>
      <c r="L26" s="181">
        <f t="shared" si="3"/>
        <v>539505.01496569195</v>
      </c>
      <c r="M26" s="194">
        <f t="shared" si="1"/>
        <v>539505</v>
      </c>
      <c r="N26" s="182">
        <f t="shared" si="4"/>
        <v>5.8623101177862472E-2</v>
      </c>
      <c r="O26" s="195">
        <f t="shared" si="5"/>
        <v>539505</v>
      </c>
      <c r="P26" s="183">
        <f t="shared" si="6"/>
        <v>539505</v>
      </c>
      <c r="Q26" s="183">
        <v>0</v>
      </c>
      <c r="R26" s="178" t="str">
        <f t="shared" si="2"/>
        <v>UBO</v>
      </c>
      <c r="S26" s="184" t="s">
        <v>140</v>
      </c>
    </row>
    <row r="27" spans="1:19" x14ac:dyDescent="0.2">
      <c r="A27" s="165">
        <v>9</v>
      </c>
      <c r="B27" s="177" t="s">
        <v>78</v>
      </c>
      <c r="C27" s="178">
        <v>10</v>
      </c>
      <c r="D27" s="165" t="s">
        <v>79</v>
      </c>
      <c r="E27" s="179">
        <f>VLOOKUP(D27,'I.Acreditación Institucional'!$C$5:$K$16,9,0)*$E$17</f>
        <v>291426.65499999997</v>
      </c>
      <c r="F27" s="179">
        <f>VLOOKUP(D27,'II.Doctorados Acreditados'!$C$6:$K$16,9,0)*$F$17</f>
        <v>302728.51973684208</v>
      </c>
      <c r="G27" s="179">
        <f>VLOOKUP(D27,'III. Planta Académica'!$AE$4:$AH$14,4,0)*$G$17</f>
        <v>63816.971871346141</v>
      </c>
      <c r="H27" s="179">
        <f>VLOOKUP(D27,'IV. Publicaciones por acad.'!$C$4:$G$14,5,0)*$H$17</f>
        <v>81121.196360027287</v>
      </c>
      <c r="I27" s="180">
        <f>VLOOKUP(D27,V.Citas!$C$4:$G$16,5,0)*$I$17</f>
        <v>145972.06019784321</v>
      </c>
      <c r="J27" s="179">
        <f>VLOOKUP(D27,'VI. Proyectos'!$C$4:$E$14,3,0)*$J$17</f>
        <v>148968.56654676259</v>
      </c>
      <c r="K27" s="179">
        <f>(VLOOKUP(D27,'VII. Publicaciones'!$O$5:$R$16,2,0)*$K$17)+(VLOOKUP(D27,'VII. Publicaciones'!$O$5:$R$17,3,0)*$K$17)</f>
        <v>96716.52938358167</v>
      </c>
      <c r="L27" s="181">
        <f t="shared" si="3"/>
        <v>1130750.4990964029</v>
      </c>
      <c r="M27" s="194">
        <f t="shared" si="1"/>
        <v>1130750</v>
      </c>
      <c r="N27" s="182">
        <f t="shared" si="4"/>
        <v>0.12286831754454174</v>
      </c>
      <c r="O27" s="195">
        <f t="shared" si="5"/>
        <v>1130750</v>
      </c>
      <c r="P27" s="183">
        <f t="shared" si="6"/>
        <v>1130750</v>
      </c>
      <c r="Q27" s="183">
        <v>0</v>
      </c>
      <c r="R27" s="178" t="str">
        <f t="shared" si="2"/>
        <v>UMA</v>
      </c>
      <c r="S27" s="184" t="s">
        <v>140</v>
      </c>
    </row>
    <row r="28" spans="1:19" x14ac:dyDescent="0.2">
      <c r="A28" s="165">
        <v>10</v>
      </c>
      <c r="B28" s="177" t="s">
        <v>90</v>
      </c>
      <c r="C28" s="178">
        <v>4</v>
      </c>
      <c r="D28" s="165" t="s">
        <v>91</v>
      </c>
      <c r="E28" s="179">
        <f>VLOOKUP(D28,'I.Acreditación Institucional'!$C$5:$K$16,9,0)*$E$17</f>
        <v>76691.225000000006</v>
      </c>
      <c r="F28" s="179">
        <f>VLOOKUP(D28,'II.Doctorados Acreditados'!$C$6:$K$16,9,0)*$F$17</f>
        <v>60545.70394736842</v>
      </c>
      <c r="G28" s="179">
        <f>VLOOKUP(D28,'III. Planta Académica'!$AE$4:$AH$14,4,0)*$G$17</f>
        <v>76451.818989341351</v>
      </c>
      <c r="H28" s="179">
        <f>VLOOKUP(D28,'IV. Publicaciones por acad.'!$C$4:$G$14,5,0)*$H$17</f>
        <v>56705.001107799173</v>
      </c>
      <c r="I28" s="180">
        <f>VLOOKUP(D28,V.Citas!$C$4:$G$16,5,0)*$I$17</f>
        <v>129018.52224845513</v>
      </c>
      <c r="J28" s="179">
        <f>VLOOKUP(D28,'VI. Proyectos'!$C$4:$E$14,3,0)*$J$17</f>
        <v>61242.632913669069</v>
      </c>
      <c r="K28" s="179">
        <f>(VLOOKUP(D28,'VII. Publicaciones'!$O$5:$R$16,2,0)*$K$17)+(VLOOKUP(D28,'VII. Publicaciones'!$O$5:$R$17,3,0)*$K$17)</f>
        <v>43815.640324425207</v>
      </c>
      <c r="L28" s="181">
        <f t="shared" si="3"/>
        <v>504470.54453105835</v>
      </c>
      <c r="M28" s="194">
        <f t="shared" si="1"/>
        <v>504470</v>
      </c>
      <c r="N28" s="182">
        <f t="shared" si="4"/>
        <v>5.4816166395485269E-2</v>
      </c>
      <c r="O28" s="195">
        <f t="shared" si="5"/>
        <v>504470</v>
      </c>
      <c r="P28" s="183">
        <f t="shared" si="6"/>
        <v>504470</v>
      </c>
      <c r="Q28" s="183">
        <v>0</v>
      </c>
      <c r="R28" s="178" t="str">
        <f t="shared" si="2"/>
        <v>UCE</v>
      </c>
      <c r="S28" s="184" t="s">
        <v>140</v>
      </c>
    </row>
    <row r="29" spans="1:19" x14ac:dyDescent="0.2">
      <c r="A29" s="165">
        <v>11</v>
      </c>
      <c r="B29" s="177" t="s">
        <v>95</v>
      </c>
      <c r="C29" s="178">
        <v>19</v>
      </c>
      <c r="D29" s="165" t="s">
        <v>96</v>
      </c>
      <c r="E29" s="179">
        <f>VLOOKUP(D29,'I.Acreditación Institucional'!$C$5:$K$16,9,0)*$E$17</f>
        <v>76691.225000000006</v>
      </c>
      <c r="F29" s="179">
        <f>VLOOKUP(D29,'II.Doctorados Acreditados'!$C$6:$K$16,9,0)*$F$17</f>
        <v>0</v>
      </c>
      <c r="G29" s="179">
        <f>VLOOKUP(D29,'III. Planta Académica'!$AE$4:$AH$14,4,0)*$G$17</f>
        <v>59155.330701080638</v>
      </c>
      <c r="H29" s="179">
        <f>VLOOKUP(D29,'IV. Publicaciones por acad.'!$C$4:$G$14,5,0)*$H$17</f>
        <v>40673.824523424766</v>
      </c>
      <c r="I29" s="180">
        <f>VLOOKUP(D29,V.Citas!$C$4:$G$16,5,0)*$I$17</f>
        <v>87648.398382844898</v>
      </c>
      <c r="J29" s="179">
        <f>VLOOKUP(D29,'VI. Proyectos'!$C$4:$E$14,3,0)*$J$17</f>
        <v>34759.332194244605</v>
      </c>
      <c r="K29" s="179">
        <f>(VLOOKUP(D29,'VII. Publicaciones'!$O$5:$R$16,2,0)*$K$17)+(VLOOKUP(D29,'VII. Publicaciones'!$O$5:$R$17,3,0)*$K$17)</f>
        <v>119085.18916438964</v>
      </c>
      <c r="L29" s="181">
        <f t="shared" si="3"/>
        <v>418013.29996598454</v>
      </c>
      <c r="M29" s="194">
        <f t="shared" si="1"/>
        <v>418013</v>
      </c>
      <c r="N29" s="182">
        <f t="shared" si="4"/>
        <v>4.5421670591860731E-2</v>
      </c>
      <c r="O29" s="195">
        <f t="shared" si="5"/>
        <v>418013</v>
      </c>
      <c r="P29" s="183">
        <f t="shared" si="6"/>
        <v>418013</v>
      </c>
      <c r="Q29" s="183">
        <v>0</v>
      </c>
      <c r="R29" s="178" t="str">
        <f t="shared" si="2"/>
        <v>UAM</v>
      </c>
      <c r="S29" s="184" t="s">
        <v>140</v>
      </c>
    </row>
    <row r="30" spans="1:19" x14ac:dyDescent="0.2">
      <c r="A30" s="160"/>
      <c r="B30" s="160"/>
      <c r="C30" s="160"/>
      <c r="D30" s="185" t="s">
        <v>14</v>
      </c>
      <c r="E30" s="186">
        <f>SUM(E19:E29)</f>
        <v>2300736.75</v>
      </c>
      <c r="F30" s="186">
        <f t="shared" ref="F30:L30" si="7">SUM(F19:F29)</f>
        <v>2300736.75</v>
      </c>
      <c r="G30" s="186">
        <f t="shared" si="7"/>
        <v>920294.70000000007</v>
      </c>
      <c r="H30" s="186">
        <f t="shared" si="7"/>
        <v>920294.70000000007</v>
      </c>
      <c r="I30" s="186">
        <f t="shared" si="7"/>
        <v>920294.70000000019</v>
      </c>
      <c r="J30" s="186">
        <f t="shared" si="7"/>
        <v>920294.70000000019</v>
      </c>
      <c r="K30" s="186">
        <f t="shared" si="7"/>
        <v>920294.70000000007</v>
      </c>
      <c r="L30" s="187">
        <f t="shared" si="7"/>
        <v>9202947</v>
      </c>
      <c r="M30" s="194">
        <f>SUM(M19:M29)</f>
        <v>9202942</v>
      </c>
      <c r="N30" s="188">
        <f>SUM(N19:N29)</f>
        <v>1</v>
      </c>
      <c r="O30" s="195">
        <f>SUM(O19:O29)</f>
        <v>9202942</v>
      </c>
      <c r="P30" s="196">
        <f>SUM(P19:P29)</f>
        <v>9202942</v>
      </c>
      <c r="Q30" s="189">
        <f>SUM(Q19:Q29)</f>
        <v>0</v>
      </c>
      <c r="R30" s="176"/>
      <c r="S30" s="160"/>
    </row>
    <row r="31" spans="1:19" ht="15" x14ac:dyDescent="0.2">
      <c r="A31" s="190"/>
      <c r="B31" s="190"/>
      <c r="C31" s="190"/>
      <c r="D31" s="190"/>
      <c r="E31" s="190" t="s">
        <v>44</v>
      </c>
      <c r="F31" s="190" t="s">
        <v>45</v>
      </c>
      <c r="G31" s="190" t="s">
        <v>55</v>
      </c>
      <c r="H31" s="190" t="s">
        <v>56</v>
      </c>
      <c r="I31" s="190" t="s">
        <v>57</v>
      </c>
      <c r="J31" s="190" t="s">
        <v>58</v>
      </c>
      <c r="K31" s="190" t="s">
        <v>59</v>
      </c>
      <c r="L31" s="190"/>
      <c r="M31" s="191">
        <f>C13-M30</f>
        <v>5</v>
      </c>
      <c r="N31" s="190"/>
      <c r="O31" s="190"/>
      <c r="P31" s="176"/>
      <c r="Q31" s="160"/>
      <c r="R31" s="190"/>
      <c r="S31" s="160"/>
    </row>
    <row r="32" spans="1:19" ht="15" x14ac:dyDescent="0.2">
      <c r="A32" s="112"/>
      <c r="B32" s="112"/>
      <c r="C32" s="112"/>
      <c r="D32" s="112"/>
      <c r="E32" s="112" t="s">
        <v>51</v>
      </c>
      <c r="F32" s="112" t="s">
        <v>42</v>
      </c>
      <c r="G32" s="112" t="s">
        <v>67</v>
      </c>
      <c r="H32" s="112" t="s">
        <v>40</v>
      </c>
      <c r="I32" s="112" t="s">
        <v>40</v>
      </c>
      <c r="J32" s="112" t="s">
        <v>40</v>
      </c>
      <c r="K32" s="112" t="s">
        <v>67</v>
      </c>
      <c r="L32" s="112"/>
      <c r="M32" s="112"/>
      <c r="N32" s="112"/>
      <c r="O32" s="112"/>
      <c r="P32" s="176"/>
      <c r="Q32" s="160"/>
      <c r="R32" s="112"/>
      <c r="S32" s="160"/>
    </row>
    <row r="33" spans="1:19" x14ac:dyDescent="0.2">
      <c r="A33" s="160"/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76"/>
      <c r="Q33" s="160"/>
      <c r="R33" s="160"/>
      <c r="S33" s="160"/>
    </row>
    <row r="34" spans="1:19" x14ac:dyDescent="0.2">
      <c r="P34" s="42"/>
    </row>
    <row r="35" spans="1:19" x14ac:dyDescent="0.2">
      <c r="P35" s="42"/>
    </row>
    <row r="36" spans="1:19" x14ac:dyDescent="0.2">
      <c r="P36" s="42"/>
    </row>
    <row r="37" spans="1:19" x14ac:dyDescent="0.2">
      <c r="P37" s="42"/>
    </row>
    <row r="38" spans="1:19" x14ac:dyDescent="0.2">
      <c r="P38" s="42"/>
    </row>
    <row r="39" spans="1:19" x14ac:dyDescent="0.2">
      <c r="P39" s="42"/>
    </row>
    <row r="40" spans="1:19" x14ac:dyDescent="0.2">
      <c r="P40" s="42"/>
    </row>
    <row r="41" spans="1:19" x14ac:dyDescent="0.2">
      <c r="P41" s="42"/>
    </row>
    <row r="42" spans="1:19" x14ac:dyDescent="0.2">
      <c r="P42" s="42"/>
    </row>
    <row r="43" spans="1:19" x14ac:dyDescent="0.2">
      <c r="P43" s="42"/>
    </row>
  </sheetData>
  <phoneticPr fontId="18" type="noConversion"/>
  <pageMargins left="0.31496062992125984" right="0.31496062992125984" top="0.74803149606299213" bottom="0.74803149606299213" header="0.31496062992125984" footer="0.31496062992125984"/>
  <pageSetup paperSize="14" scale="73" orientation="landscape" r:id="rId1"/>
  <headerFooter>
    <oddFooter>&amp;C&amp;F&amp;R&amp;A</oddFooter>
  </headerFooter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059F0-F738-4FBF-862F-E4692F81F592}">
  <sheetPr>
    <tabColor theme="3" tint="0.79998168889431442"/>
    <pageSetUpPr fitToPage="1"/>
  </sheetPr>
  <dimension ref="A2:K19"/>
  <sheetViews>
    <sheetView zoomScale="80" zoomScaleNormal="80" workbookViewId="0">
      <selection activeCell="E7" sqref="E7"/>
    </sheetView>
  </sheetViews>
  <sheetFormatPr baseColWidth="10" defaultRowHeight="15" x14ac:dyDescent="0.25"/>
  <cols>
    <col min="1" max="1" width="3.42578125" customWidth="1"/>
    <col min="2" max="2" width="37.5703125" bestFit="1" customWidth="1"/>
    <col min="4" max="4" width="12" customWidth="1"/>
    <col min="5" max="6" width="10.42578125" customWidth="1"/>
    <col min="7" max="9" width="11.42578125" customWidth="1"/>
    <col min="10" max="10" width="14.7109375" bestFit="1" customWidth="1"/>
    <col min="11" max="11" width="10.85546875" customWidth="1"/>
  </cols>
  <sheetData>
    <row r="2" spans="1:11" x14ac:dyDescent="0.25">
      <c r="C2" s="16">
        <v>1</v>
      </c>
      <c r="D2" s="16">
        <v>2</v>
      </c>
      <c r="E2" s="16">
        <v>3</v>
      </c>
      <c r="F2" s="16">
        <v>4</v>
      </c>
      <c r="G2" s="16">
        <v>5</v>
      </c>
      <c r="H2" s="16">
        <v>6</v>
      </c>
      <c r="I2" s="16">
        <v>7</v>
      </c>
      <c r="J2" s="16">
        <v>8</v>
      </c>
      <c r="K2" s="16">
        <v>9</v>
      </c>
    </row>
    <row r="3" spans="1:11" s="112" customFormat="1" ht="24.75" customHeight="1" x14ac:dyDescent="0.25">
      <c r="D3" s="192" t="s">
        <v>130</v>
      </c>
      <c r="E3" s="192"/>
      <c r="F3" s="192"/>
      <c r="G3" s="140">
        <v>0.4</v>
      </c>
      <c r="H3" s="140">
        <v>0.4</v>
      </c>
      <c r="I3" s="140">
        <v>0.2</v>
      </c>
      <c r="J3" s="141"/>
      <c r="K3" s="142"/>
    </row>
    <row r="4" spans="1:11" ht="38.25" x14ac:dyDescent="0.25">
      <c r="A4" s="13" t="s">
        <v>20</v>
      </c>
      <c r="B4" s="4" t="s">
        <v>1</v>
      </c>
      <c r="C4" s="115" t="s">
        <v>0</v>
      </c>
      <c r="D4" s="109" t="s">
        <v>85</v>
      </c>
      <c r="E4" s="109" t="s">
        <v>24</v>
      </c>
      <c r="F4" s="109" t="s">
        <v>86</v>
      </c>
      <c r="G4" s="109" t="s">
        <v>27</v>
      </c>
      <c r="H4" s="109" t="s">
        <v>26</v>
      </c>
      <c r="I4" s="109" t="s">
        <v>28</v>
      </c>
      <c r="J4" s="109" t="s">
        <v>82</v>
      </c>
      <c r="K4" s="109" t="s">
        <v>66</v>
      </c>
    </row>
    <row r="5" spans="1:11" x14ac:dyDescent="0.25">
      <c r="A5" s="7">
        <v>1</v>
      </c>
      <c r="B5" s="14" t="s">
        <v>3</v>
      </c>
      <c r="C5" s="116" t="s">
        <v>2</v>
      </c>
      <c r="D5" s="114">
        <v>1</v>
      </c>
      <c r="E5" s="114">
        <v>5</v>
      </c>
      <c r="F5" s="114">
        <v>6</v>
      </c>
      <c r="G5" s="51">
        <f>IF(D5=1,100,0)</f>
        <v>100</v>
      </c>
      <c r="H5" s="51">
        <f>IF(E5=5,100,0)</f>
        <v>100</v>
      </c>
      <c r="I5" s="52">
        <f>F5*100/7</f>
        <v>85.714285714285708</v>
      </c>
      <c r="J5" s="52">
        <f>G5*$G$3+H5*$H$3+I5*$I$3</f>
        <v>97.142857142857139</v>
      </c>
      <c r="K5" s="118">
        <f>+J5/$J$16</f>
        <v>0.22666666666666663</v>
      </c>
    </row>
    <row r="6" spans="1:11" x14ac:dyDescent="0.25">
      <c r="A6" s="7">
        <v>2</v>
      </c>
      <c r="B6" s="14" t="s">
        <v>5</v>
      </c>
      <c r="C6" s="116" t="s">
        <v>4</v>
      </c>
      <c r="D6" s="114">
        <v>1</v>
      </c>
      <c r="E6" s="114">
        <v>5</v>
      </c>
      <c r="F6" s="114">
        <v>5</v>
      </c>
      <c r="G6" s="51">
        <f t="shared" ref="G6:G15" si="0">IF(D6=1,100,0)</f>
        <v>100</v>
      </c>
      <c r="H6" s="51">
        <f t="shared" ref="H6:H15" si="1">IF(E6=5,100,0)</f>
        <v>100</v>
      </c>
      <c r="I6" s="52">
        <f t="shared" ref="I6:I15" si="2">F6*100/7</f>
        <v>71.428571428571431</v>
      </c>
      <c r="J6" s="52">
        <f t="shared" ref="J6:J15" si="3">G6*$G$3+H6*$H$3+I6*$I$3</f>
        <v>94.285714285714292</v>
      </c>
      <c r="K6" s="118">
        <f t="shared" ref="K6:K15" si="4">+J6/$J$16</f>
        <v>0.22</v>
      </c>
    </row>
    <row r="7" spans="1:11" x14ac:dyDescent="0.25">
      <c r="A7" s="7">
        <v>3</v>
      </c>
      <c r="B7" s="14" t="s">
        <v>7</v>
      </c>
      <c r="C7" s="116" t="s">
        <v>6</v>
      </c>
      <c r="D7" s="114">
        <v>0</v>
      </c>
      <c r="E7" s="114">
        <v>3</v>
      </c>
      <c r="F7" s="114">
        <v>4</v>
      </c>
      <c r="G7" s="51">
        <f t="shared" si="0"/>
        <v>0</v>
      </c>
      <c r="H7" s="51">
        <f t="shared" si="1"/>
        <v>0</v>
      </c>
      <c r="I7" s="52">
        <f t="shared" si="2"/>
        <v>57.142857142857146</v>
      </c>
      <c r="J7" s="52">
        <f t="shared" si="3"/>
        <v>11.428571428571431</v>
      </c>
      <c r="K7" s="118">
        <f t="shared" si="4"/>
        <v>2.6666666666666668E-2</v>
      </c>
    </row>
    <row r="8" spans="1:11" x14ac:dyDescent="0.25">
      <c r="A8" s="7">
        <v>4</v>
      </c>
      <c r="B8" s="14" t="s">
        <v>9</v>
      </c>
      <c r="C8" s="116" t="s">
        <v>8</v>
      </c>
      <c r="D8" s="114">
        <v>1</v>
      </c>
      <c r="E8" s="114">
        <v>4</v>
      </c>
      <c r="F8" s="114">
        <v>5</v>
      </c>
      <c r="G8" s="51">
        <f t="shared" si="0"/>
        <v>100</v>
      </c>
      <c r="H8" s="51">
        <f t="shared" si="1"/>
        <v>0</v>
      </c>
      <c r="I8" s="52">
        <f t="shared" si="2"/>
        <v>71.428571428571431</v>
      </c>
      <c r="J8" s="52">
        <f t="shared" si="3"/>
        <v>54.285714285714285</v>
      </c>
      <c r="K8" s="118">
        <f t="shared" si="4"/>
        <v>0.12666666666666665</v>
      </c>
    </row>
    <row r="9" spans="1:11" x14ac:dyDescent="0.25">
      <c r="A9" s="7">
        <v>5</v>
      </c>
      <c r="B9" s="14" t="s">
        <v>11</v>
      </c>
      <c r="C9" s="116" t="s">
        <v>10</v>
      </c>
      <c r="D9" s="114">
        <v>1</v>
      </c>
      <c r="E9" s="114">
        <v>4</v>
      </c>
      <c r="F9" s="114">
        <v>5</v>
      </c>
      <c r="G9" s="51">
        <f t="shared" si="0"/>
        <v>100</v>
      </c>
      <c r="H9" s="51">
        <f t="shared" si="1"/>
        <v>0</v>
      </c>
      <c r="I9" s="52">
        <f t="shared" si="2"/>
        <v>71.428571428571431</v>
      </c>
      <c r="J9" s="52">
        <f t="shared" si="3"/>
        <v>54.285714285714285</v>
      </c>
      <c r="K9" s="118">
        <f t="shared" si="4"/>
        <v>0.12666666666666665</v>
      </c>
    </row>
    <row r="10" spans="1:11" x14ac:dyDescent="0.25">
      <c r="A10" s="7">
        <v>6</v>
      </c>
      <c r="B10" s="14" t="s">
        <v>13</v>
      </c>
      <c r="C10" s="116" t="s">
        <v>12</v>
      </c>
      <c r="D10" s="114">
        <v>0</v>
      </c>
      <c r="E10" s="114">
        <v>3</v>
      </c>
      <c r="F10" s="114">
        <v>4</v>
      </c>
      <c r="G10" s="51">
        <f t="shared" si="0"/>
        <v>0</v>
      </c>
      <c r="H10" s="51">
        <f t="shared" si="1"/>
        <v>0</v>
      </c>
      <c r="I10" s="52">
        <f t="shared" si="2"/>
        <v>57.142857142857146</v>
      </c>
      <c r="J10" s="52">
        <f t="shared" si="3"/>
        <v>11.428571428571431</v>
      </c>
      <c r="K10" s="118">
        <f t="shared" si="4"/>
        <v>2.6666666666666668E-2</v>
      </c>
    </row>
    <row r="11" spans="1:11" x14ac:dyDescent="0.25">
      <c r="A11" s="7">
        <v>7</v>
      </c>
      <c r="B11" s="14" t="s">
        <v>84</v>
      </c>
      <c r="C11" s="116" t="s">
        <v>83</v>
      </c>
      <c r="D11" s="114">
        <v>0</v>
      </c>
      <c r="E11" s="114">
        <v>2</v>
      </c>
      <c r="F11" s="114">
        <v>4</v>
      </c>
      <c r="G11" s="51">
        <f t="shared" si="0"/>
        <v>0</v>
      </c>
      <c r="H11" s="51">
        <f t="shared" si="1"/>
        <v>0</v>
      </c>
      <c r="I11" s="52">
        <f t="shared" si="2"/>
        <v>57.142857142857146</v>
      </c>
      <c r="J11" s="52">
        <f t="shared" si="3"/>
        <v>11.428571428571431</v>
      </c>
      <c r="K11" s="118">
        <f t="shared" si="4"/>
        <v>2.6666666666666668E-2</v>
      </c>
    </row>
    <row r="12" spans="1:11" x14ac:dyDescent="0.25">
      <c r="A12" s="7">
        <v>8</v>
      </c>
      <c r="B12" s="14" t="s">
        <v>76</v>
      </c>
      <c r="C12" s="116" t="s">
        <v>77</v>
      </c>
      <c r="D12" s="114">
        <v>0</v>
      </c>
      <c r="E12" s="114">
        <v>3</v>
      </c>
      <c r="F12" s="114">
        <v>4</v>
      </c>
      <c r="G12" s="51">
        <f t="shared" si="0"/>
        <v>0</v>
      </c>
      <c r="H12" s="51">
        <f t="shared" si="1"/>
        <v>0</v>
      </c>
      <c r="I12" s="52">
        <f t="shared" si="2"/>
        <v>57.142857142857146</v>
      </c>
      <c r="J12" s="52">
        <f t="shared" si="3"/>
        <v>11.428571428571431</v>
      </c>
      <c r="K12" s="118">
        <f t="shared" si="4"/>
        <v>2.6666666666666668E-2</v>
      </c>
    </row>
    <row r="13" spans="1:11" x14ac:dyDescent="0.25">
      <c r="A13" s="7">
        <v>9</v>
      </c>
      <c r="B13" s="14" t="s">
        <v>78</v>
      </c>
      <c r="C13" s="116" t="s">
        <v>79</v>
      </c>
      <c r="D13" s="114">
        <v>1</v>
      </c>
      <c r="E13" s="114">
        <v>4</v>
      </c>
      <c r="F13" s="114">
        <v>5</v>
      </c>
      <c r="G13" s="51">
        <f t="shared" si="0"/>
        <v>100</v>
      </c>
      <c r="H13" s="51">
        <f t="shared" si="1"/>
        <v>0</v>
      </c>
      <c r="I13" s="52">
        <f t="shared" si="2"/>
        <v>71.428571428571431</v>
      </c>
      <c r="J13" s="52">
        <f t="shared" si="3"/>
        <v>54.285714285714285</v>
      </c>
      <c r="K13" s="118">
        <f t="shared" si="4"/>
        <v>0.12666666666666665</v>
      </c>
    </row>
    <row r="14" spans="1:11" x14ac:dyDescent="0.25">
      <c r="A14" s="7">
        <v>10</v>
      </c>
      <c r="B14" s="14" t="s">
        <v>90</v>
      </c>
      <c r="C14" s="116" t="s">
        <v>91</v>
      </c>
      <c r="D14" s="114">
        <v>0</v>
      </c>
      <c r="E14" s="114">
        <v>3</v>
      </c>
      <c r="F14" s="114">
        <v>5</v>
      </c>
      <c r="G14" s="51">
        <f t="shared" si="0"/>
        <v>0</v>
      </c>
      <c r="H14" s="51">
        <f t="shared" si="1"/>
        <v>0</v>
      </c>
      <c r="I14" s="52">
        <f t="shared" si="2"/>
        <v>71.428571428571431</v>
      </c>
      <c r="J14" s="52">
        <f t="shared" si="3"/>
        <v>14.285714285714286</v>
      </c>
      <c r="K14" s="118">
        <f t="shared" si="4"/>
        <v>3.3333333333333333E-2</v>
      </c>
    </row>
    <row r="15" spans="1:11" x14ac:dyDescent="0.25">
      <c r="A15" s="7">
        <v>11</v>
      </c>
      <c r="B15" s="14" t="s">
        <v>95</v>
      </c>
      <c r="C15" s="116" t="s">
        <v>96</v>
      </c>
      <c r="D15" s="114">
        <v>0</v>
      </c>
      <c r="E15" s="114">
        <v>3</v>
      </c>
      <c r="F15" s="114">
        <v>5</v>
      </c>
      <c r="G15" s="51">
        <f t="shared" si="0"/>
        <v>0</v>
      </c>
      <c r="H15" s="51">
        <f t="shared" si="1"/>
        <v>0</v>
      </c>
      <c r="I15" s="52">
        <f t="shared" si="2"/>
        <v>71.428571428571431</v>
      </c>
      <c r="J15" s="52">
        <f t="shared" si="3"/>
        <v>14.285714285714286</v>
      </c>
      <c r="K15" s="118">
        <f t="shared" si="4"/>
        <v>3.3333333333333333E-2</v>
      </c>
    </row>
    <row r="16" spans="1:11" x14ac:dyDescent="0.25">
      <c r="A16" s="10"/>
      <c r="B16" s="10"/>
      <c r="C16" s="117" t="s">
        <v>14</v>
      </c>
      <c r="D16" s="15">
        <v>5</v>
      </c>
      <c r="E16" s="15">
        <v>39</v>
      </c>
      <c r="F16" s="15">
        <v>52</v>
      </c>
      <c r="G16" s="52">
        <f>SUM(G5:G15)</f>
        <v>500</v>
      </c>
      <c r="H16" s="51">
        <f>SUM(H5:H15)</f>
        <v>200</v>
      </c>
      <c r="I16" s="52">
        <f>SUM(I5:I15)</f>
        <v>742.857142857143</v>
      </c>
      <c r="J16" s="81">
        <f>SUM(J5:J15)</f>
        <v>428.57142857142861</v>
      </c>
      <c r="K16" s="119">
        <f>SUM(K5:K15)</f>
        <v>0.99999999999999978</v>
      </c>
    </row>
    <row r="18" spans="4:11" x14ac:dyDescent="0.25">
      <c r="D18" t="s">
        <v>37</v>
      </c>
      <c r="E18" t="s">
        <v>37</v>
      </c>
      <c r="F18" t="s">
        <v>37</v>
      </c>
      <c r="G18" t="s">
        <v>38</v>
      </c>
      <c r="H18" t="s">
        <v>39</v>
      </c>
      <c r="I18" t="s">
        <v>40</v>
      </c>
      <c r="J18" t="s">
        <v>65</v>
      </c>
      <c r="K18" t="s">
        <v>43</v>
      </c>
    </row>
    <row r="19" spans="4:11" s="49" customFormat="1" x14ac:dyDescent="0.25"/>
  </sheetData>
  <mergeCells count="1">
    <mergeCell ref="D3:F3"/>
  </mergeCells>
  <pageMargins left="0.70866141732283472" right="0.70866141732283472" top="0.74803149606299213" bottom="0.74803149606299213" header="0.31496062992125984" footer="0.31496062992125984"/>
  <pageSetup paperSize="14" scale="99" orientation="landscape" verticalDpi="0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EFFA8-87F9-49E4-ADD6-7341A1B9CFD1}">
  <sheetPr>
    <tabColor theme="3" tint="0.79998168889431442"/>
  </sheetPr>
  <dimension ref="A1:L20"/>
  <sheetViews>
    <sheetView topLeftCell="A2" zoomScale="90" zoomScaleNormal="90" workbookViewId="0">
      <selection activeCell="E9" sqref="E9"/>
    </sheetView>
  </sheetViews>
  <sheetFormatPr baseColWidth="10" defaultRowHeight="15" x14ac:dyDescent="0.25"/>
  <cols>
    <col min="1" max="1" width="2.85546875" bestFit="1" customWidth="1"/>
    <col min="2" max="2" width="37.5703125" bestFit="1" customWidth="1"/>
    <col min="4" max="4" width="10.42578125" customWidth="1"/>
    <col min="5" max="5" width="10.85546875" customWidth="1"/>
    <col min="6" max="6" width="10.5703125" customWidth="1"/>
    <col min="7" max="8" width="10.42578125" customWidth="1"/>
    <col min="9" max="9" width="10" customWidth="1"/>
  </cols>
  <sheetData>
    <row r="1" spans="1:12" x14ac:dyDescent="0.25">
      <c r="C1" s="17">
        <v>1</v>
      </c>
      <c r="D1" s="17">
        <v>2</v>
      </c>
      <c r="E1" s="17">
        <v>3</v>
      </c>
      <c r="F1" s="17">
        <v>4</v>
      </c>
      <c r="G1" s="17">
        <v>5</v>
      </c>
      <c r="H1" s="17">
        <v>6</v>
      </c>
      <c r="I1" s="17">
        <v>7</v>
      </c>
      <c r="J1" s="17">
        <v>8</v>
      </c>
      <c r="K1" s="17">
        <v>9</v>
      </c>
    </row>
    <row r="2" spans="1:12" x14ac:dyDescent="0.25">
      <c r="B2" s="84"/>
      <c r="C2" s="17"/>
      <c r="D2" s="17"/>
      <c r="E2" s="17"/>
      <c r="F2" s="17"/>
      <c r="G2" s="17"/>
      <c r="H2" s="17"/>
      <c r="I2" s="17"/>
      <c r="J2" s="17"/>
      <c r="K2" s="17"/>
    </row>
    <row r="3" spans="1:12" x14ac:dyDescent="0.25">
      <c r="B3" s="84"/>
      <c r="C3" s="16">
        <v>1</v>
      </c>
      <c r="D3" s="16">
        <v>2</v>
      </c>
      <c r="E3" s="16">
        <v>3</v>
      </c>
      <c r="F3" s="16">
        <v>4</v>
      </c>
      <c r="G3" s="16">
        <v>5</v>
      </c>
      <c r="H3" s="16">
        <v>6</v>
      </c>
      <c r="I3" s="16">
        <v>7</v>
      </c>
      <c r="J3" s="16">
        <v>8</v>
      </c>
      <c r="K3" s="16">
        <v>9</v>
      </c>
    </row>
    <row r="4" spans="1:12" s="112" customFormat="1" ht="19.5" customHeight="1" x14ac:dyDescent="0.25">
      <c r="D4" s="113">
        <v>2</v>
      </c>
      <c r="E4" s="113">
        <v>3</v>
      </c>
      <c r="F4" s="113">
        <v>4</v>
      </c>
      <c r="G4" s="113">
        <v>5</v>
      </c>
      <c r="H4" s="113">
        <v>6</v>
      </c>
    </row>
    <row r="5" spans="1:12" ht="51" x14ac:dyDescent="0.25">
      <c r="A5" s="13" t="s">
        <v>20</v>
      </c>
      <c r="B5" s="4" t="s">
        <v>1</v>
      </c>
      <c r="C5" s="115" t="s">
        <v>0</v>
      </c>
      <c r="D5" s="109" t="s">
        <v>60</v>
      </c>
      <c r="E5" s="109" t="s">
        <v>61</v>
      </c>
      <c r="F5" s="109" t="s">
        <v>62</v>
      </c>
      <c r="G5" s="109" t="s">
        <v>63</v>
      </c>
      <c r="H5" s="109" t="s">
        <v>73</v>
      </c>
      <c r="I5" s="109" t="s">
        <v>64</v>
      </c>
      <c r="J5" s="109" t="s">
        <v>129</v>
      </c>
      <c r="K5" s="109" t="s">
        <v>36</v>
      </c>
    </row>
    <row r="6" spans="1:12" x14ac:dyDescent="0.25">
      <c r="A6" s="7">
        <v>1</v>
      </c>
      <c r="B6" s="14" t="s">
        <v>3</v>
      </c>
      <c r="C6" s="116" t="s">
        <v>2</v>
      </c>
      <c r="D6" s="7">
        <v>0</v>
      </c>
      <c r="E6" s="7">
        <v>3</v>
      </c>
      <c r="F6" s="7">
        <v>0</v>
      </c>
      <c r="G6" s="7">
        <v>4</v>
      </c>
      <c r="H6" s="7">
        <v>1</v>
      </c>
      <c r="I6" s="7">
        <f t="shared" ref="I6" si="0">SUM(D6:H6)</f>
        <v>8</v>
      </c>
      <c r="J6" s="111">
        <f t="shared" ref="J6:J16" si="1">IFERROR((D6*$D$4+E6*$E$4+F6*$F$4+G6*$G$4+H6*$H$4),0)</f>
        <v>35</v>
      </c>
      <c r="K6" s="120">
        <f t="shared" ref="K6:K16" si="2">J6/$J$17</f>
        <v>0.30701754385964913</v>
      </c>
      <c r="L6" s="39"/>
    </row>
    <row r="7" spans="1:12" x14ac:dyDescent="0.25">
      <c r="A7" s="7">
        <v>2</v>
      </c>
      <c r="B7" s="14" t="s">
        <v>5</v>
      </c>
      <c r="C7" s="116" t="s">
        <v>4</v>
      </c>
      <c r="D7" s="7">
        <v>1</v>
      </c>
      <c r="E7" s="7">
        <v>2</v>
      </c>
      <c r="F7" s="7">
        <v>0</v>
      </c>
      <c r="G7" s="7">
        <v>2</v>
      </c>
      <c r="H7" s="7">
        <v>2</v>
      </c>
      <c r="I7" s="7">
        <f t="shared" ref="I7:I16" si="3">SUM(D7:H7)</f>
        <v>7</v>
      </c>
      <c r="J7" s="111">
        <f t="shared" si="1"/>
        <v>30</v>
      </c>
      <c r="K7" s="120">
        <f t="shared" si="2"/>
        <v>0.26315789473684209</v>
      </c>
      <c r="L7" s="39"/>
    </row>
    <row r="8" spans="1:12" x14ac:dyDescent="0.25">
      <c r="A8" s="7">
        <v>3</v>
      </c>
      <c r="B8" s="14" t="s">
        <v>7</v>
      </c>
      <c r="C8" s="116" t="s">
        <v>6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f t="shared" si="3"/>
        <v>1</v>
      </c>
      <c r="J8" s="111">
        <f t="shared" si="1"/>
        <v>3</v>
      </c>
      <c r="K8" s="120">
        <f t="shared" si="2"/>
        <v>2.6315789473684209E-2</v>
      </c>
      <c r="L8" s="39"/>
    </row>
    <row r="9" spans="1:12" x14ac:dyDescent="0.25">
      <c r="A9" s="7">
        <v>4</v>
      </c>
      <c r="B9" s="14" t="s">
        <v>9</v>
      </c>
      <c r="C9" s="116" t="s">
        <v>8</v>
      </c>
      <c r="D9" s="7">
        <v>0</v>
      </c>
      <c r="E9" s="7">
        <v>2</v>
      </c>
      <c r="F9" s="7">
        <v>1</v>
      </c>
      <c r="G9" s="7">
        <v>1</v>
      </c>
      <c r="H9" s="7">
        <v>0</v>
      </c>
      <c r="I9" s="7">
        <f t="shared" si="3"/>
        <v>4</v>
      </c>
      <c r="J9" s="111">
        <f t="shared" si="1"/>
        <v>15</v>
      </c>
      <c r="K9" s="120">
        <f t="shared" si="2"/>
        <v>0.13157894736842105</v>
      </c>
      <c r="L9" s="39"/>
    </row>
    <row r="10" spans="1:12" x14ac:dyDescent="0.25">
      <c r="A10" s="7">
        <v>5</v>
      </c>
      <c r="B10" s="14" t="s">
        <v>11</v>
      </c>
      <c r="C10" s="116" t="s">
        <v>10</v>
      </c>
      <c r="D10" s="7">
        <v>0</v>
      </c>
      <c r="E10" s="7">
        <v>2</v>
      </c>
      <c r="F10" s="7">
        <v>0</v>
      </c>
      <c r="G10" s="7">
        <v>0</v>
      </c>
      <c r="H10" s="7">
        <v>0</v>
      </c>
      <c r="I10" s="7">
        <f t="shared" si="3"/>
        <v>2</v>
      </c>
      <c r="J10" s="111">
        <f t="shared" si="1"/>
        <v>6</v>
      </c>
      <c r="K10" s="120">
        <f t="shared" si="2"/>
        <v>5.2631578947368418E-2</v>
      </c>
      <c r="L10" s="39"/>
    </row>
    <row r="11" spans="1:12" x14ac:dyDescent="0.25">
      <c r="A11" s="7">
        <v>6</v>
      </c>
      <c r="B11" s="14" t="s">
        <v>13</v>
      </c>
      <c r="C11" s="116" t="s">
        <v>12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f t="shared" si="3"/>
        <v>0</v>
      </c>
      <c r="J11" s="111">
        <f t="shared" si="1"/>
        <v>0</v>
      </c>
      <c r="K11" s="120">
        <f t="shared" si="2"/>
        <v>0</v>
      </c>
      <c r="L11" s="39"/>
    </row>
    <row r="12" spans="1:12" x14ac:dyDescent="0.25">
      <c r="A12" s="7">
        <v>7</v>
      </c>
      <c r="B12" s="14" t="s">
        <v>84</v>
      </c>
      <c r="C12" s="116" t="s">
        <v>83</v>
      </c>
      <c r="D12" s="7">
        <v>1</v>
      </c>
      <c r="E12" s="7">
        <v>0</v>
      </c>
      <c r="F12" s="7">
        <v>0</v>
      </c>
      <c r="G12" s="7">
        <v>0</v>
      </c>
      <c r="H12" s="7">
        <v>0</v>
      </c>
      <c r="I12" s="7">
        <f t="shared" si="3"/>
        <v>1</v>
      </c>
      <c r="J12" s="111">
        <f t="shared" si="1"/>
        <v>2</v>
      </c>
      <c r="K12" s="120">
        <f t="shared" si="2"/>
        <v>1.7543859649122806E-2</v>
      </c>
      <c r="L12" s="39"/>
    </row>
    <row r="13" spans="1:12" x14ac:dyDescent="0.25">
      <c r="A13" s="7">
        <v>8</v>
      </c>
      <c r="B13" s="14" t="s">
        <v>76</v>
      </c>
      <c r="C13" s="116" t="s">
        <v>77</v>
      </c>
      <c r="D13" s="7">
        <v>1</v>
      </c>
      <c r="E13" s="7">
        <v>1</v>
      </c>
      <c r="F13" s="7">
        <v>0</v>
      </c>
      <c r="G13" s="7">
        <v>0</v>
      </c>
      <c r="H13" s="7">
        <v>0</v>
      </c>
      <c r="I13" s="7">
        <f t="shared" si="3"/>
        <v>2</v>
      </c>
      <c r="J13" s="111">
        <f t="shared" si="1"/>
        <v>5</v>
      </c>
      <c r="K13" s="120">
        <f t="shared" si="2"/>
        <v>4.3859649122807015E-2</v>
      </c>
      <c r="L13" s="39"/>
    </row>
    <row r="14" spans="1:12" x14ac:dyDescent="0.25">
      <c r="A14" s="7">
        <v>9</v>
      </c>
      <c r="B14" s="14" t="s">
        <v>78</v>
      </c>
      <c r="C14" s="116" t="s">
        <v>79</v>
      </c>
      <c r="D14" s="7">
        <v>1</v>
      </c>
      <c r="E14" s="7">
        <v>3</v>
      </c>
      <c r="F14" s="7">
        <v>1</v>
      </c>
      <c r="G14" s="7">
        <v>0</v>
      </c>
      <c r="H14" s="7">
        <v>0</v>
      </c>
      <c r="I14" s="7">
        <f t="shared" si="3"/>
        <v>5</v>
      </c>
      <c r="J14" s="111">
        <f t="shared" si="1"/>
        <v>15</v>
      </c>
      <c r="K14" s="120">
        <f t="shared" si="2"/>
        <v>0.13157894736842105</v>
      </c>
      <c r="L14" s="39"/>
    </row>
    <row r="15" spans="1:12" x14ac:dyDescent="0.25">
      <c r="A15" s="7">
        <v>10</v>
      </c>
      <c r="B15" s="14" t="s">
        <v>90</v>
      </c>
      <c r="C15" s="116" t="s">
        <v>91</v>
      </c>
      <c r="D15" s="7">
        <v>0</v>
      </c>
      <c r="E15" s="7">
        <v>1</v>
      </c>
      <c r="F15" s="7">
        <v>0</v>
      </c>
      <c r="G15" s="7">
        <v>0</v>
      </c>
      <c r="H15" s="7">
        <v>0</v>
      </c>
      <c r="I15" s="7">
        <f t="shared" si="3"/>
        <v>1</v>
      </c>
      <c r="J15" s="111">
        <f t="shared" si="1"/>
        <v>3</v>
      </c>
      <c r="K15" s="120">
        <f t="shared" si="2"/>
        <v>2.6315789473684209E-2</v>
      </c>
      <c r="L15" s="39"/>
    </row>
    <row r="16" spans="1:12" x14ac:dyDescent="0.25">
      <c r="A16" s="7">
        <v>11</v>
      </c>
      <c r="B16" s="14" t="s">
        <v>95</v>
      </c>
      <c r="C16" s="116" t="s">
        <v>96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f t="shared" si="3"/>
        <v>0</v>
      </c>
      <c r="J16" s="111">
        <f t="shared" si="1"/>
        <v>0</v>
      </c>
      <c r="K16" s="120">
        <f t="shared" si="2"/>
        <v>0</v>
      </c>
      <c r="L16" s="39"/>
    </row>
    <row r="17" spans="1:12" x14ac:dyDescent="0.25">
      <c r="A17" s="10"/>
      <c r="B17" s="10"/>
      <c r="C17" s="117" t="s">
        <v>14</v>
      </c>
      <c r="D17" s="15">
        <v>4</v>
      </c>
      <c r="E17" s="15">
        <v>15</v>
      </c>
      <c r="F17" s="15">
        <v>2</v>
      </c>
      <c r="G17" s="15">
        <v>7</v>
      </c>
      <c r="H17" s="15">
        <v>3</v>
      </c>
      <c r="I17" s="15">
        <f t="shared" ref="I17:J17" si="4">SUM(I6:I16)</f>
        <v>31</v>
      </c>
      <c r="J17" s="15">
        <f t="shared" si="4"/>
        <v>114</v>
      </c>
      <c r="K17" s="121">
        <f>SUM(K6:K16)</f>
        <v>1</v>
      </c>
      <c r="L17" s="39"/>
    </row>
    <row r="18" spans="1:12" x14ac:dyDescent="0.25">
      <c r="J18" s="9"/>
      <c r="K18" s="9"/>
    </row>
    <row r="19" spans="1:12" x14ac:dyDescent="0.25">
      <c r="D19" t="s">
        <v>37</v>
      </c>
      <c r="E19" t="s">
        <v>37</v>
      </c>
      <c r="F19" t="s">
        <v>37</v>
      </c>
      <c r="G19" t="s">
        <v>37</v>
      </c>
      <c r="H19" t="s">
        <v>37</v>
      </c>
      <c r="J19" s="9" t="s">
        <v>39</v>
      </c>
      <c r="K19" s="9" t="s">
        <v>41</v>
      </c>
    </row>
    <row r="20" spans="1:12" x14ac:dyDescent="0.25">
      <c r="D20" t="s">
        <v>38</v>
      </c>
      <c r="E20" t="s">
        <v>38</v>
      </c>
      <c r="F20" t="s">
        <v>38</v>
      </c>
      <c r="G20" t="s">
        <v>38</v>
      </c>
      <c r="H20" t="s">
        <v>38</v>
      </c>
      <c r="J20" s="9" t="s">
        <v>40</v>
      </c>
      <c r="K20" s="38"/>
    </row>
  </sheetData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0F74C-FE09-414F-8679-BC0851566780}">
  <sheetPr>
    <tabColor theme="3" tint="0.79998168889431442"/>
    <pageSetUpPr fitToPage="1"/>
  </sheetPr>
  <dimension ref="A1:AI18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8" sqref="G8"/>
    </sheetView>
  </sheetViews>
  <sheetFormatPr baseColWidth="10" defaultRowHeight="15" x14ac:dyDescent="0.25"/>
  <cols>
    <col min="1" max="1" width="2.85546875" bestFit="1" customWidth="1"/>
    <col min="2" max="2" width="32" bestFit="1" customWidth="1"/>
    <col min="3" max="3" width="8.5703125" bestFit="1" customWidth="1"/>
    <col min="4" max="15" width="8.28515625" customWidth="1"/>
    <col min="16" max="16" width="4" customWidth="1"/>
    <col min="18" max="18" width="4" customWidth="1"/>
    <col min="20" max="20" width="10.7109375" customWidth="1"/>
    <col min="27" max="27" width="9.28515625" bestFit="1" customWidth="1"/>
    <col min="28" max="28" width="12.5703125" customWidth="1"/>
    <col min="30" max="30" width="2" customWidth="1"/>
    <col min="31" max="31" width="6.5703125" bestFit="1" customWidth="1"/>
  </cols>
  <sheetData>
    <row r="1" spans="1:35" x14ac:dyDescent="0.25"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>
        <v>1</v>
      </c>
      <c r="AF1" s="17">
        <v>2</v>
      </c>
      <c r="AG1" s="17">
        <v>3</v>
      </c>
      <c r="AH1" s="17">
        <v>4</v>
      </c>
    </row>
    <row r="2" spans="1:35" ht="15.75" thickBot="1" x14ac:dyDescent="0.3">
      <c r="C2" s="17">
        <v>1</v>
      </c>
      <c r="D2" s="17">
        <v>2</v>
      </c>
      <c r="E2" s="17">
        <v>3</v>
      </c>
      <c r="F2" s="17">
        <v>4</v>
      </c>
      <c r="G2" s="17">
        <v>5</v>
      </c>
      <c r="H2" s="17">
        <v>6</v>
      </c>
      <c r="I2" s="17">
        <v>7</v>
      </c>
      <c r="J2" s="17">
        <v>8</v>
      </c>
      <c r="K2" s="17">
        <v>9</v>
      </c>
      <c r="L2" s="17">
        <v>10</v>
      </c>
      <c r="M2" s="17">
        <v>11</v>
      </c>
      <c r="N2" s="17">
        <v>12</v>
      </c>
      <c r="O2" s="17">
        <v>13</v>
      </c>
      <c r="P2" s="17">
        <v>14</v>
      </c>
      <c r="Q2" s="17">
        <v>15</v>
      </c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"/>
      <c r="AF2" s="125">
        <v>0.8</v>
      </c>
      <c r="AG2" s="125">
        <v>0.2</v>
      </c>
    </row>
    <row r="3" spans="1:35" ht="102.75" thickBot="1" x14ac:dyDescent="0.3">
      <c r="A3" s="143" t="s">
        <v>20</v>
      </c>
      <c r="B3" s="143" t="s">
        <v>23</v>
      </c>
      <c r="C3" s="144" t="s">
        <v>25</v>
      </c>
      <c r="D3" s="145" t="s">
        <v>75</v>
      </c>
      <c r="E3" s="146" t="s">
        <v>74</v>
      </c>
      <c r="F3" s="145" t="s">
        <v>81</v>
      </c>
      <c r="G3" s="146" t="s">
        <v>80</v>
      </c>
      <c r="H3" s="145" t="s">
        <v>88</v>
      </c>
      <c r="I3" s="146" t="s">
        <v>89</v>
      </c>
      <c r="J3" s="145" t="s">
        <v>92</v>
      </c>
      <c r="K3" s="146" t="s">
        <v>93</v>
      </c>
      <c r="L3" s="145" t="s">
        <v>98</v>
      </c>
      <c r="M3" s="146" t="s">
        <v>99</v>
      </c>
      <c r="N3" s="145" t="s">
        <v>107</v>
      </c>
      <c r="O3" s="146" t="s">
        <v>106</v>
      </c>
      <c r="Q3" s="147" t="s">
        <v>114</v>
      </c>
      <c r="S3" s="148" t="s">
        <v>0</v>
      </c>
      <c r="T3" s="151" t="s">
        <v>100</v>
      </c>
      <c r="U3" s="152" t="s">
        <v>101</v>
      </c>
      <c r="V3" s="153" t="s">
        <v>102</v>
      </c>
      <c r="W3" s="151" t="s">
        <v>108</v>
      </c>
      <c r="X3" s="152" t="s">
        <v>109</v>
      </c>
      <c r="Y3" s="153" t="s">
        <v>110</v>
      </c>
      <c r="Z3" s="154" t="s">
        <v>29</v>
      </c>
      <c r="AA3" s="151" t="s">
        <v>111</v>
      </c>
      <c r="AB3" s="152" t="s">
        <v>115</v>
      </c>
      <c r="AC3" s="157" t="s">
        <v>30</v>
      </c>
      <c r="AD3" s="76"/>
      <c r="AE3" s="115" t="s">
        <v>0</v>
      </c>
      <c r="AF3" s="124" t="s">
        <v>33</v>
      </c>
      <c r="AG3" s="124" t="s">
        <v>32</v>
      </c>
      <c r="AH3" s="109" t="s">
        <v>34</v>
      </c>
    </row>
    <row r="4" spans="1:35" s="38" customFormat="1" x14ac:dyDescent="0.25">
      <c r="A4" s="7">
        <v>1</v>
      </c>
      <c r="B4" s="85" t="s">
        <v>3</v>
      </c>
      <c r="C4" s="29" t="s">
        <v>2</v>
      </c>
      <c r="D4" s="86">
        <v>156</v>
      </c>
      <c r="E4" s="87">
        <v>309</v>
      </c>
      <c r="F4" s="86">
        <v>167</v>
      </c>
      <c r="G4" s="87">
        <v>342</v>
      </c>
      <c r="H4" s="86">
        <v>171</v>
      </c>
      <c r="I4" s="87">
        <v>313</v>
      </c>
      <c r="J4" s="86">
        <v>185</v>
      </c>
      <c r="K4" s="87">
        <v>313</v>
      </c>
      <c r="L4" s="88">
        <v>221</v>
      </c>
      <c r="M4" s="89">
        <v>369</v>
      </c>
      <c r="N4" s="88">
        <v>224</v>
      </c>
      <c r="O4" s="89">
        <v>375</v>
      </c>
      <c r="Q4" s="7">
        <f t="shared" ref="Q4:Q14" si="0">SUM(E4,G4,I4,K4,M4)</f>
        <v>1646</v>
      </c>
      <c r="S4" s="149" t="s">
        <v>2</v>
      </c>
      <c r="T4" s="45">
        <f t="shared" ref="T4:T14" si="1">SUM(H4,J4,L4)</f>
        <v>577</v>
      </c>
      <c r="U4" s="46">
        <f t="shared" ref="U4:U14" si="2">SUM(I4,K4,M4)</f>
        <v>995</v>
      </c>
      <c r="V4" s="47">
        <f t="shared" ref="V4:V11" si="3">T4/U4</f>
        <v>0.57989949748743719</v>
      </c>
      <c r="W4" s="45">
        <f t="shared" ref="W4:W14" si="4">SUM(J4,L4,N4)</f>
        <v>630</v>
      </c>
      <c r="X4" s="46">
        <f t="shared" ref="X4:X14" si="5">SUM(K4,M4,O4)</f>
        <v>1057</v>
      </c>
      <c r="Y4" s="47">
        <f t="shared" ref="Y4" si="6">W4/X4</f>
        <v>0.59602649006622521</v>
      </c>
      <c r="Z4" s="155">
        <f>Y4/$Y$15</f>
        <v>0.13651728511519026</v>
      </c>
      <c r="AA4" s="103">
        <f>+Y4/V4-1</f>
        <v>2.7809978537078228E-2</v>
      </c>
      <c r="AB4" s="102">
        <f>IF(AA4&lt;0,0,AA4)</f>
        <v>2.7809978537078228E-2</v>
      </c>
      <c r="AC4" s="158">
        <f t="shared" ref="AC4:AC14" si="7">+AB4/$AB$15</f>
        <v>3.6245141776048817E-2</v>
      </c>
      <c r="AD4" s="83"/>
      <c r="AE4" s="123" t="s">
        <v>2</v>
      </c>
      <c r="AF4" s="75">
        <f t="shared" ref="AF4" si="8">Z4*$AF$2</f>
        <v>0.10921382809215222</v>
      </c>
      <c r="AG4" s="75">
        <f t="shared" ref="AG4" si="9">AC4*$AG$2</f>
        <v>7.2490283552097638E-3</v>
      </c>
      <c r="AH4" s="118">
        <f t="shared" ref="AH4:AH11" si="10">SUM(AF4:AG4)</f>
        <v>0.11646285644736198</v>
      </c>
      <c r="AI4"/>
    </row>
    <row r="5" spans="1:35" s="38" customFormat="1" x14ac:dyDescent="0.25">
      <c r="A5" s="7">
        <v>2</v>
      </c>
      <c r="B5" s="85" t="s">
        <v>5</v>
      </c>
      <c r="C5" s="29" t="s">
        <v>4</v>
      </c>
      <c r="D5" s="88">
        <v>130</v>
      </c>
      <c r="E5" s="89">
        <v>172</v>
      </c>
      <c r="F5" s="88">
        <v>151</v>
      </c>
      <c r="G5" s="89">
        <v>196</v>
      </c>
      <c r="H5" s="86">
        <v>155</v>
      </c>
      <c r="I5" s="87">
        <v>196</v>
      </c>
      <c r="J5" s="88">
        <v>156</v>
      </c>
      <c r="K5" s="89">
        <v>199</v>
      </c>
      <c r="L5" s="88">
        <v>160</v>
      </c>
      <c r="M5" s="89">
        <v>210</v>
      </c>
      <c r="N5" s="88">
        <v>170</v>
      </c>
      <c r="O5" s="89">
        <v>231</v>
      </c>
      <c r="Q5" s="7">
        <f t="shared" si="0"/>
        <v>973</v>
      </c>
      <c r="S5" s="149" t="s">
        <v>4</v>
      </c>
      <c r="T5" s="45">
        <f t="shared" si="1"/>
        <v>471</v>
      </c>
      <c r="U5" s="46">
        <f t="shared" si="2"/>
        <v>605</v>
      </c>
      <c r="V5" s="47">
        <f t="shared" si="3"/>
        <v>0.7785123966942149</v>
      </c>
      <c r="W5" s="45">
        <f t="shared" si="4"/>
        <v>486</v>
      </c>
      <c r="X5" s="46">
        <f t="shared" si="5"/>
        <v>640</v>
      </c>
      <c r="Y5" s="47">
        <f t="shared" ref="Y5:Y14" si="11">W5/X5</f>
        <v>0.75937500000000002</v>
      </c>
      <c r="Z5" s="155">
        <f t="shared" ref="Z5:Z14" si="12">Y5/$Y$15</f>
        <v>0.17393155356707207</v>
      </c>
      <c r="AA5" s="104">
        <f t="shared" ref="AA5:AA14" si="13">+Y5/V5-1</f>
        <v>-2.4582006369426757E-2</v>
      </c>
      <c r="AB5" s="101">
        <f t="shared" ref="AB5:AB13" si="14">IF(AA5&lt;0,0,AA5)</f>
        <v>0</v>
      </c>
      <c r="AC5" s="158">
        <f t="shared" si="7"/>
        <v>0</v>
      </c>
      <c r="AD5" s="83"/>
      <c r="AE5" s="123" t="s">
        <v>4</v>
      </c>
      <c r="AF5" s="75">
        <f t="shared" ref="AF5:AF13" si="15">Z5*$AF$2</f>
        <v>0.13914524285365767</v>
      </c>
      <c r="AG5" s="75">
        <f t="shared" ref="AG5:AG13" si="16">AC5*$AG$2</f>
        <v>0</v>
      </c>
      <c r="AH5" s="118">
        <f t="shared" si="10"/>
        <v>0.13914524285365767</v>
      </c>
      <c r="AI5"/>
    </row>
    <row r="6" spans="1:35" s="38" customFormat="1" x14ac:dyDescent="0.25">
      <c r="A6" s="7">
        <v>3</v>
      </c>
      <c r="B6" s="85" t="s">
        <v>7</v>
      </c>
      <c r="C6" s="29" t="s">
        <v>6</v>
      </c>
      <c r="D6" s="88">
        <v>43</v>
      </c>
      <c r="E6" s="89">
        <v>131</v>
      </c>
      <c r="F6" s="88">
        <v>46</v>
      </c>
      <c r="G6" s="89">
        <v>126</v>
      </c>
      <c r="H6" s="86">
        <v>52</v>
      </c>
      <c r="I6" s="87">
        <v>139</v>
      </c>
      <c r="J6" s="88">
        <v>62</v>
      </c>
      <c r="K6" s="89">
        <v>141</v>
      </c>
      <c r="L6" s="88">
        <v>72</v>
      </c>
      <c r="M6" s="89">
        <v>150</v>
      </c>
      <c r="N6" s="88">
        <v>78</v>
      </c>
      <c r="O6" s="89">
        <v>161</v>
      </c>
      <c r="Q6" s="7">
        <f t="shared" si="0"/>
        <v>687</v>
      </c>
      <c r="S6" s="149" t="s">
        <v>6</v>
      </c>
      <c r="T6" s="45">
        <f t="shared" si="1"/>
        <v>186</v>
      </c>
      <c r="U6" s="46">
        <f t="shared" si="2"/>
        <v>430</v>
      </c>
      <c r="V6" s="47">
        <f t="shared" si="3"/>
        <v>0.4325581395348837</v>
      </c>
      <c r="W6" s="45">
        <f t="shared" si="4"/>
        <v>212</v>
      </c>
      <c r="X6" s="46">
        <f t="shared" si="5"/>
        <v>452</v>
      </c>
      <c r="Y6" s="47">
        <f t="shared" si="11"/>
        <v>0.46902654867256638</v>
      </c>
      <c r="Z6" s="155">
        <f t="shared" si="12"/>
        <v>0.10742849879811874</v>
      </c>
      <c r="AA6" s="104">
        <f t="shared" si="13"/>
        <v>8.4308687791416981E-2</v>
      </c>
      <c r="AB6" s="101">
        <f t="shared" si="14"/>
        <v>8.4308687791416981E-2</v>
      </c>
      <c r="AC6" s="158">
        <f t="shared" si="7"/>
        <v>0.10988071558122067</v>
      </c>
      <c r="AD6" s="83"/>
      <c r="AE6" s="123" t="s">
        <v>6</v>
      </c>
      <c r="AF6" s="75">
        <f t="shared" si="15"/>
        <v>8.5942799038494999E-2</v>
      </c>
      <c r="AG6" s="75">
        <f t="shared" si="16"/>
        <v>2.1976143116244136E-2</v>
      </c>
      <c r="AH6" s="118">
        <f t="shared" si="10"/>
        <v>0.10791894215473913</v>
      </c>
      <c r="AI6"/>
    </row>
    <row r="7" spans="1:35" s="38" customFormat="1" x14ac:dyDescent="0.25">
      <c r="A7" s="7">
        <v>4</v>
      </c>
      <c r="B7" s="85" t="s">
        <v>9</v>
      </c>
      <c r="C7" s="29" t="s">
        <v>8</v>
      </c>
      <c r="D7" s="88">
        <v>186</v>
      </c>
      <c r="E7" s="89">
        <v>668</v>
      </c>
      <c r="F7" s="88">
        <v>212</v>
      </c>
      <c r="G7" s="89">
        <v>674</v>
      </c>
      <c r="H7" s="86">
        <v>218</v>
      </c>
      <c r="I7" s="87">
        <v>718</v>
      </c>
      <c r="J7" s="88">
        <v>229</v>
      </c>
      <c r="K7" s="89">
        <v>642</v>
      </c>
      <c r="L7" s="88">
        <v>313</v>
      </c>
      <c r="M7" s="89">
        <v>732</v>
      </c>
      <c r="N7" s="88">
        <v>337</v>
      </c>
      <c r="O7" s="89">
        <v>796</v>
      </c>
      <c r="Q7" s="7">
        <f t="shared" si="0"/>
        <v>3434</v>
      </c>
      <c r="S7" s="149" t="s">
        <v>8</v>
      </c>
      <c r="T7" s="45">
        <f t="shared" si="1"/>
        <v>760</v>
      </c>
      <c r="U7" s="46">
        <f t="shared" si="2"/>
        <v>2092</v>
      </c>
      <c r="V7" s="47">
        <f t="shared" si="3"/>
        <v>0.3632887189292543</v>
      </c>
      <c r="W7" s="45">
        <f t="shared" si="4"/>
        <v>879</v>
      </c>
      <c r="X7" s="46">
        <f t="shared" si="5"/>
        <v>2170</v>
      </c>
      <c r="Y7" s="47">
        <f t="shared" si="11"/>
        <v>0.40506912442396314</v>
      </c>
      <c r="Z7" s="155">
        <f t="shared" si="12"/>
        <v>9.2779327885581603E-2</v>
      </c>
      <c r="AA7" s="104">
        <f t="shared" si="13"/>
        <v>0.11500606354596177</v>
      </c>
      <c r="AB7" s="101">
        <f t="shared" si="14"/>
        <v>0.11500606354596177</v>
      </c>
      <c r="AC7" s="158">
        <f t="shared" si="7"/>
        <v>0.14988904334359854</v>
      </c>
      <c r="AD7" s="83"/>
      <c r="AE7" s="123" t="s">
        <v>8</v>
      </c>
      <c r="AF7" s="75">
        <f t="shared" si="15"/>
        <v>7.4223462308465285E-2</v>
      </c>
      <c r="AG7" s="75">
        <f t="shared" si="16"/>
        <v>2.997780866871971E-2</v>
      </c>
      <c r="AH7" s="118">
        <f t="shared" si="10"/>
        <v>0.104201270977185</v>
      </c>
      <c r="AI7"/>
    </row>
    <row r="8" spans="1:35" s="38" customFormat="1" x14ac:dyDescent="0.25">
      <c r="A8" s="7">
        <v>5</v>
      </c>
      <c r="B8" s="85" t="s">
        <v>11</v>
      </c>
      <c r="C8" s="29" t="s">
        <v>10</v>
      </c>
      <c r="D8" s="88">
        <v>41</v>
      </c>
      <c r="E8" s="89">
        <v>146</v>
      </c>
      <c r="F8" s="88">
        <v>38</v>
      </c>
      <c r="G8" s="89">
        <v>160</v>
      </c>
      <c r="H8" s="86">
        <v>43</v>
      </c>
      <c r="I8" s="87">
        <v>161</v>
      </c>
      <c r="J8" s="88">
        <v>61</v>
      </c>
      <c r="K8" s="89">
        <v>189</v>
      </c>
      <c r="L8" s="88">
        <v>81</v>
      </c>
      <c r="M8" s="89">
        <v>209</v>
      </c>
      <c r="N8" s="88">
        <v>84</v>
      </c>
      <c r="O8" s="89">
        <v>228</v>
      </c>
      <c r="Q8" s="7">
        <f t="shared" si="0"/>
        <v>865</v>
      </c>
      <c r="S8" s="149" t="s">
        <v>10</v>
      </c>
      <c r="T8" s="45">
        <f t="shared" si="1"/>
        <v>185</v>
      </c>
      <c r="U8" s="46">
        <f t="shared" si="2"/>
        <v>559</v>
      </c>
      <c r="V8" s="47">
        <f t="shared" si="3"/>
        <v>0.33094812164579607</v>
      </c>
      <c r="W8" s="45">
        <f t="shared" si="4"/>
        <v>226</v>
      </c>
      <c r="X8" s="46">
        <f t="shared" si="5"/>
        <v>626</v>
      </c>
      <c r="Y8" s="47">
        <f t="shared" si="11"/>
        <v>0.36102236421725242</v>
      </c>
      <c r="Z8" s="155">
        <f t="shared" si="12"/>
        <v>8.2690608303886803E-2</v>
      </c>
      <c r="AA8" s="104">
        <f t="shared" si="13"/>
        <v>9.0872981607805992E-2</v>
      </c>
      <c r="AB8" s="101">
        <f t="shared" si="14"/>
        <v>9.0872981607805992E-2</v>
      </c>
      <c r="AC8" s="158">
        <f t="shared" si="7"/>
        <v>0.11843605336105548</v>
      </c>
      <c r="AD8" s="83"/>
      <c r="AE8" s="123" t="s">
        <v>10</v>
      </c>
      <c r="AF8" s="75">
        <f t="shared" si="15"/>
        <v>6.6152486643109451E-2</v>
      </c>
      <c r="AG8" s="75">
        <f t="shared" si="16"/>
        <v>2.3687210672211096E-2</v>
      </c>
      <c r="AH8" s="118">
        <f t="shared" si="10"/>
        <v>8.9839697315320544E-2</v>
      </c>
      <c r="AI8"/>
    </row>
    <row r="9" spans="1:35" s="38" customFormat="1" x14ac:dyDescent="0.25">
      <c r="A9" s="7">
        <v>6</v>
      </c>
      <c r="B9" s="85" t="s">
        <v>13</v>
      </c>
      <c r="C9" s="29" t="s">
        <v>12</v>
      </c>
      <c r="D9" s="88">
        <v>34</v>
      </c>
      <c r="E9" s="89">
        <v>82</v>
      </c>
      <c r="F9" s="88">
        <v>35</v>
      </c>
      <c r="G9" s="89">
        <v>88</v>
      </c>
      <c r="H9" s="86">
        <v>28</v>
      </c>
      <c r="I9" s="87">
        <v>72</v>
      </c>
      <c r="J9" s="88">
        <v>28</v>
      </c>
      <c r="K9" s="89">
        <v>72</v>
      </c>
      <c r="L9" s="88">
        <v>2</v>
      </c>
      <c r="M9" s="89">
        <v>2</v>
      </c>
      <c r="N9" s="88">
        <v>24</v>
      </c>
      <c r="O9" s="89">
        <v>83</v>
      </c>
      <c r="Q9" s="7">
        <f t="shared" si="0"/>
        <v>316</v>
      </c>
      <c r="S9" s="149" t="s">
        <v>12</v>
      </c>
      <c r="T9" s="45">
        <f t="shared" si="1"/>
        <v>58</v>
      </c>
      <c r="U9" s="46">
        <f t="shared" si="2"/>
        <v>146</v>
      </c>
      <c r="V9" s="47">
        <f t="shared" si="3"/>
        <v>0.39726027397260272</v>
      </c>
      <c r="W9" s="45">
        <f t="shared" si="4"/>
        <v>54</v>
      </c>
      <c r="X9" s="46">
        <f t="shared" si="5"/>
        <v>157</v>
      </c>
      <c r="Y9" s="47">
        <f t="shared" si="11"/>
        <v>0.34394904458598724</v>
      </c>
      <c r="Z9" s="155">
        <f t="shared" si="12"/>
        <v>7.8780038416791306E-2</v>
      </c>
      <c r="AA9" s="104">
        <f t="shared" si="13"/>
        <v>-0.13419723259389416</v>
      </c>
      <c r="AB9" s="101">
        <f t="shared" si="14"/>
        <v>0</v>
      </c>
      <c r="AC9" s="158">
        <f t="shared" si="7"/>
        <v>0</v>
      </c>
      <c r="AD9" s="83"/>
      <c r="AE9" s="123" t="s">
        <v>12</v>
      </c>
      <c r="AF9" s="75">
        <f t="shared" si="15"/>
        <v>6.3024030733433045E-2</v>
      </c>
      <c r="AG9" s="75">
        <f t="shared" si="16"/>
        <v>0</v>
      </c>
      <c r="AH9" s="118">
        <f t="shared" si="10"/>
        <v>6.3024030733433045E-2</v>
      </c>
      <c r="AI9"/>
    </row>
    <row r="10" spans="1:35" s="38" customFormat="1" x14ac:dyDescent="0.25">
      <c r="A10" s="7">
        <v>7</v>
      </c>
      <c r="B10" s="85" t="s">
        <v>84</v>
      </c>
      <c r="C10" s="29" t="s">
        <v>83</v>
      </c>
      <c r="D10" s="88">
        <v>69</v>
      </c>
      <c r="E10" s="89">
        <v>586</v>
      </c>
      <c r="F10" s="88">
        <v>68</v>
      </c>
      <c r="G10" s="89">
        <v>614</v>
      </c>
      <c r="H10" s="86">
        <v>90</v>
      </c>
      <c r="I10" s="87">
        <v>629</v>
      </c>
      <c r="J10" s="88">
        <v>98</v>
      </c>
      <c r="K10" s="89">
        <v>662</v>
      </c>
      <c r="L10" s="88">
        <v>135</v>
      </c>
      <c r="M10" s="89">
        <v>693</v>
      </c>
      <c r="N10" s="88">
        <v>167</v>
      </c>
      <c r="O10" s="89">
        <v>679</v>
      </c>
      <c r="Q10" s="7">
        <f t="shared" si="0"/>
        <v>3184</v>
      </c>
      <c r="S10" s="149" t="s">
        <v>83</v>
      </c>
      <c r="T10" s="45">
        <f t="shared" si="1"/>
        <v>323</v>
      </c>
      <c r="U10" s="46">
        <f t="shared" si="2"/>
        <v>1984</v>
      </c>
      <c r="V10" s="47">
        <f t="shared" si="3"/>
        <v>0.16280241935483872</v>
      </c>
      <c r="W10" s="45">
        <f t="shared" si="4"/>
        <v>400</v>
      </c>
      <c r="X10" s="46">
        <f t="shared" si="5"/>
        <v>2034</v>
      </c>
      <c r="Y10" s="47">
        <f t="shared" si="11"/>
        <v>0.19665683382497542</v>
      </c>
      <c r="Z10" s="155">
        <f t="shared" si="12"/>
        <v>4.5043395722481651E-2</v>
      </c>
      <c r="AA10" s="104">
        <f t="shared" si="13"/>
        <v>0.20794785854102549</v>
      </c>
      <c r="AB10" s="101">
        <f t="shared" si="14"/>
        <v>0.20794785854102549</v>
      </c>
      <c r="AC10" s="158">
        <f t="shared" si="7"/>
        <v>0.27102141070681585</v>
      </c>
      <c r="AD10" s="83"/>
      <c r="AE10" s="123" t="s">
        <v>83</v>
      </c>
      <c r="AF10" s="75">
        <f t="shared" si="15"/>
        <v>3.6034716577985321E-2</v>
      </c>
      <c r="AG10" s="75">
        <f t="shared" si="16"/>
        <v>5.4204282141363171E-2</v>
      </c>
      <c r="AH10" s="118">
        <f t="shared" si="10"/>
        <v>9.0238998719348484E-2</v>
      </c>
      <c r="AI10"/>
    </row>
    <row r="11" spans="1:35" s="38" customFormat="1" x14ac:dyDescent="0.25">
      <c r="A11" s="7">
        <v>8</v>
      </c>
      <c r="B11" s="85" t="s">
        <v>76</v>
      </c>
      <c r="C11" s="29" t="s">
        <v>77</v>
      </c>
      <c r="D11" s="88">
        <v>49</v>
      </c>
      <c r="E11" s="89">
        <v>230</v>
      </c>
      <c r="F11" s="88">
        <v>65</v>
      </c>
      <c r="G11" s="89">
        <v>199</v>
      </c>
      <c r="H11" s="86">
        <v>89</v>
      </c>
      <c r="I11" s="87">
        <v>247</v>
      </c>
      <c r="J11" s="88">
        <v>102</v>
      </c>
      <c r="K11" s="89">
        <v>275</v>
      </c>
      <c r="L11" s="88">
        <v>95</v>
      </c>
      <c r="M11" s="89">
        <v>266</v>
      </c>
      <c r="N11" s="88">
        <v>92</v>
      </c>
      <c r="O11" s="89">
        <v>241</v>
      </c>
      <c r="Q11" s="7">
        <f t="shared" si="0"/>
        <v>1217</v>
      </c>
      <c r="S11" s="149" t="s">
        <v>77</v>
      </c>
      <c r="T11" s="45">
        <f t="shared" si="1"/>
        <v>286</v>
      </c>
      <c r="U11" s="46">
        <f t="shared" si="2"/>
        <v>788</v>
      </c>
      <c r="V11" s="47">
        <f t="shared" si="3"/>
        <v>0.3629441624365482</v>
      </c>
      <c r="W11" s="45">
        <f t="shared" si="4"/>
        <v>289</v>
      </c>
      <c r="X11" s="46">
        <f t="shared" si="5"/>
        <v>782</v>
      </c>
      <c r="Y11" s="47">
        <f t="shared" si="11"/>
        <v>0.36956521739130432</v>
      </c>
      <c r="Z11" s="155">
        <f t="shared" si="12"/>
        <v>8.4647311809346218E-2</v>
      </c>
      <c r="AA11" s="104">
        <f t="shared" si="13"/>
        <v>1.8242626938279161E-2</v>
      </c>
      <c r="AB11" s="101">
        <f t="shared" si="14"/>
        <v>1.8242626938279161E-2</v>
      </c>
      <c r="AC11" s="158">
        <f t="shared" si="7"/>
        <v>2.3775875945532578E-2</v>
      </c>
      <c r="AD11" s="83"/>
      <c r="AE11" s="123" t="s">
        <v>77</v>
      </c>
      <c r="AF11" s="75">
        <f t="shared" si="15"/>
        <v>6.7717849447476983E-2</v>
      </c>
      <c r="AG11" s="75">
        <f t="shared" si="16"/>
        <v>4.7551751891065155E-3</v>
      </c>
      <c r="AH11" s="118">
        <f t="shared" si="10"/>
        <v>7.2473024636583505E-2</v>
      </c>
      <c r="AI11"/>
    </row>
    <row r="12" spans="1:35" s="38" customFormat="1" x14ac:dyDescent="0.25">
      <c r="A12" s="7">
        <v>9</v>
      </c>
      <c r="B12" s="85" t="s">
        <v>78</v>
      </c>
      <c r="C12" s="29" t="s">
        <v>79</v>
      </c>
      <c r="D12" s="88">
        <v>194</v>
      </c>
      <c r="E12" s="89">
        <v>580</v>
      </c>
      <c r="F12" s="88">
        <v>199</v>
      </c>
      <c r="G12" s="89">
        <v>589</v>
      </c>
      <c r="H12" s="86">
        <v>196</v>
      </c>
      <c r="I12" s="87">
        <v>571</v>
      </c>
      <c r="J12" s="88">
        <v>179</v>
      </c>
      <c r="K12" s="89">
        <v>520</v>
      </c>
      <c r="L12" s="88">
        <v>180</v>
      </c>
      <c r="M12" s="89">
        <v>524</v>
      </c>
      <c r="N12" s="88">
        <v>181</v>
      </c>
      <c r="O12" s="89">
        <v>497</v>
      </c>
      <c r="Q12" s="7">
        <f t="shared" si="0"/>
        <v>2784</v>
      </c>
      <c r="S12" s="149" t="s">
        <v>79</v>
      </c>
      <c r="T12" s="45">
        <f t="shared" si="1"/>
        <v>555</v>
      </c>
      <c r="U12" s="46">
        <f t="shared" si="2"/>
        <v>1615</v>
      </c>
      <c r="V12" s="47">
        <f t="shared" ref="V12:V13" si="17">T12/U12</f>
        <v>0.34365325077399383</v>
      </c>
      <c r="W12" s="45">
        <f t="shared" si="4"/>
        <v>540</v>
      </c>
      <c r="X12" s="46">
        <f t="shared" si="5"/>
        <v>1541</v>
      </c>
      <c r="Y12" s="47">
        <f t="shared" si="11"/>
        <v>0.35042180402336143</v>
      </c>
      <c r="Z12" s="155">
        <f t="shared" si="12"/>
        <v>8.0262595921065771E-2</v>
      </c>
      <c r="AA12" s="104">
        <f t="shared" si="13"/>
        <v>1.9695880176087588E-2</v>
      </c>
      <c r="AB12" s="101">
        <f t="shared" si="14"/>
        <v>1.9695880176087588E-2</v>
      </c>
      <c r="AC12" s="158">
        <f t="shared" si="7"/>
        <v>2.5669921623081036E-2</v>
      </c>
      <c r="AD12" s="83"/>
      <c r="AE12" s="123" t="s">
        <v>79</v>
      </c>
      <c r="AF12" s="75">
        <f t="shared" si="15"/>
        <v>6.4210076736852625E-2</v>
      </c>
      <c r="AG12" s="75">
        <f t="shared" si="16"/>
        <v>5.1339843246162075E-3</v>
      </c>
      <c r="AH12" s="118">
        <f t="shared" ref="AH12:AH13" si="18">SUM(AF12:AG12)</f>
        <v>6.9344061061468829E-2</v>
      </c>
      <c r="AI12"/>
    </row>
    <row r="13" spans="1:35" s="38" customFormat="1" x14ac:dyDescent="0.25">
      <c r="A13" s="7">
        <v>10</v>
      </c>
      <c r="B13" s="85" t="s">
        <v>90</v>
      </c>
      <c r="C13" s="29" t="s">
        <v>91</v>
      </c>
      <c r="D13" s="88">
        <v>59</v>
      </c>
      <c r="E13" s="89">
        <v>282</v>
      </c>
      <c r="F13" s="88">
        <v>71</v>
      </c>
      <c r="G13" s="89">
        <v>287</v>
      </c>
      <c r="H13" s="86">
        <v>82</v>
      </c>
      <c r="I13" s="87">
        <v>317</v>
      </c>
      <c r="J13" s="88">
        <v>89</v>
      </c>
      <c r="K13" s="89">
        <v>332</v>
      </c>
      <c r="L13" s="88">
        <v>108</v>
      </c>
      <c r="M13" s="89">
        <v>369</v>
      </c>
      <c r="N13" s="88">
        <v>143</v>
      </c>
      <c r="O13" s="89">
        <v>421</v>
      </c>
      <c r="Q13" s="7">
        <f t="shared" si="0"/>
        <v>1587</v>
      </c>
      <c r="S13" s="149" t="s">
        <v>91</v>
      </c>
      <c r="T13" s="45">
        <f t="shared" si="1"/>
        <v>279</v>
      </c>
      <c r="U13" s="46">
        <f t="shared" si="2"/>
        <v>1018</v>
      </c>
      <c r="V13" s="47">
        <f t="shared" si="17"/>
        <v>0.27406679764243613</v>
      </c>
      <c r="W13" s="45">
        <f t="shared" si="4"/>
        <v>340</v>
      </c>
      <c r="X13" s="46">
        <f t="shared" si="5"/>
        <v>1122</v>
      </c>
      <c r="Y13" s="47">
        <f t="shared" si="11"/>
        <v>0.30303030303030304</v>
      </c>
      <c r="Z13" s="155">
        <f t="shared" si="12"/>
        <v>6.9407777954187636E-2</v>
      </c>
      <c r="AA13" s="104">
        <f t="shared" si="13"/>
        <v>0.10568046051917035</v>
      </c>
      <c r="AB13" s="101">
        <f t="shared" si="14"/>
        <v>0.10568046051917035</v>
      </c>
      <c r="AC13" s="158">
        <f t="shared" si="7"/>
        <v>0.13773485187586515</v>
      </c>
      <c r="AD13" s="83"/>
      <c r="AE13" s="123" t="s">
        <v>91</v>
      </c>
      <c r="AF13" s="75">
        <f t="shared" si="15"/>
        <v>5.5526222363350114E-2</v>
      </c>
      <c r="AG13" s="75">
        <f t="shared" si="16"/>
        <v>2.7546970375173032E-2</v>
      </c>
      <c r="AH13" s="118">
        <f t="shared" si="18"/>
        <v>8.3073192738523149E-2</v>
      </c>
      <c r="AI13"/>
    </row>
    <row r="14" spans="1:35" s="38" customFormat="1" x14ac:dyDescent="0.25">
      <c r="A14" s="7">
        <v>11</v>
      </c>
      <c r="B14" s="14" t="s">
        <v>95</v>
      </c>
      <c r="C14" s="7" t="s">
        <v>96</v>
      </c>
      <c r="D14" s="91">
        <v>28</v>
      </c>
      <c r="E14" s="90">
        <v>524</v>
      </c>
      <c r="F14" s="91">
        <v>34</v>
      </c>
      <c r="G14" s="90">
        <v>478</v>
      </c>
      <c r="H14" s="92">
        <v>87</v>
      </c>
      <c r="I14" s="93">
        <v>603</v>
      </c>
      <c r="J14" s="91">
        <v>145</v>
      </c>
      <c r="K14" s="90">
        <v>639</v>
      </c>
      <c r="L14" s="88">
        <v>140</v>
      </c>
      <c r="M14" s="89">
        <v>686</v>
      </c>
      <c r="N14" s="88">
        <v>153</v>
      </c>
      <c r="O14" s="89">
        <v>743</v>
      </c>
      <c r="Q14" s="7">
        <f t="shared" si="0"/>
        <v>2930</v>
      </c>
      <c r="S14" s="149" t="s">
        <v>96</v>
      </c>
      <c r="T14" s="45">
        <f t="shared" si="1"/>
        <v>372</v>
      </c>
      <c r="U14" s="46">
        <f t="shared" si="2"/>
        <v>1928</v>
      </c>
      <c r="V14" s="47">
        <f t="shared" ref="V14" si="19">T14/U14</f>
        <v>0.19294605809128632</v>
      </c>
      <c r="W14" s="45">
        <f t="shared" si="4"/>
        <v>438</v>
      </c>
      <c r="X14" s="46">
        <f t="shared" si="5"/>
        <v>2068</v>
      </c>
      <c r="Y14" s="47">
        <f t="shared" si="11"/>
        <v>0.21179883945841393</v>
      </c>
      <c r="Z14" s="155">
        <f t="shared" si="12"/>
        <v>4.8511606506277956E-2</v>
      </c>
      <c r="AA14" s="104">
        <f t="shared" si="13"/>
        <v>9.7710114182317342E-2</v>
      </c>
      <c r="AB14" s="101">
        <f t="shared" ref="AB14" si="20">IF(AA14&lt;0,0,AA14)</f>
        <v>9.7710114182317342E-2</v>
      </c>
      <c r="AC14" s="158">
        <f t="shared" si="7"/>
        <v>0.12734698578678189</v>
      </c>
      <c r="AD14" s="83"/>
      <c r="AE14" s="123" t="s">
        <v>96</v>
      </c>
      <c r="AF14" s="75">
        <f t="shared" ref="AF14" si="21">Z14*$AF$2</f>
        <v>3.8809285205022366E-2</v>
      </c>
      <c r="AG14" s="75">
        <f t="shared" ref="AG14" si="22">AC14*$AG$2</f>
        <v>2.5469397157356379E-2</v>
      </c>
      <c r="AH14" s="118">
        <f t="shared" ref="AH14" si="23">SUM(AF14:AG14)</f>
        <v>6.4278682362378742E-2</v>
      </c>
      <c r="AI14"/>
    </row>
    <row r="15" spans="1:35" ht="15.75" thickBot="1" x14ac:dyDescent="0.3">
      <c r="A15" s="10"/>
      <c r="B15" s="9"/>
      <c r="C15" s="94"/>
      <c r="D15" s="95">
        <f t="shared" ref="D15:K15" si="24">SUM(D4:D14)</f>
        <v>989</v>
      </c>
      <c r="E15" s="96">
        <f t="shared" si="24"/>
        <v>3710</v>
      </c>
      <c r="F15" s="95">
        <f t="shared" si="24"/>
        <v>1086</v>
      </c>
      <c r="G15" s="96">
        <f t="shared" si="24"/>
        <v>3753</v>
      </c>
      <c r="H15" s="95">
        <f t="shared" si="24"/>
        <v>1211</v>
      </c>
      <c r="I15" s="96">
        <f t="shared" si="24"/>
        <v>3966</v>
      </c>
      <c r="J15" s="95">
        <f t="shared" si="24"/>
        <v>1334</v>
      </c>
      <c r="K15" s="96">
        <f t="shared" si="24"/>
        <v>3984</v>
      </c>
      <c r="L15" s="24">
        <f>SUM(L4:L14)</f>
        <v>1507</v>
      </c>
      <c r="M15" s="25">
        <f>SUM(M4:M14)</f>
        <v>4210</v>
      </c>
      <c r="N15" s="24">
        <f>SUM(N4:N14)</f>
        <v>1653</v>
      </c>
      <c r="O15" s="25">
        <f>SUM(O4:O14)</f>
        <v>4455</v>
      </c>
      <c r="Q15" s="44">
        <f>SUM(Q4:Q14)</f>
        <v>19623</v>
      </c>
      <c r="S15" s="150" t="s">
        <v>14</v>
      </c>
      <c r="T15" s="26">
        <f t="shared" ref="T15:Z15" si="25">SUM(T4:T14)</f>
        <v>4052</v>
      </c>
      <c r="U15" s="27">
        <f t="shared" si="25"/>
        <v>12160</v>
      </c>
      <c r="V15" s="48">
        <f t="shared" si="25"/>
        <v>4.2188798365632918</v>
      </c>
      <c r="W15" s="99">
        <f>SUM(J15,L15,N15)</f>
        <v>4494</v>
      </c>
      <c r="X15" s="98">
        <f>SUM(X4:X14)</f>
        <v>12649</v>
      </c>
      <c r="Y15" s="100">
        <f>SUM(Y4:Y14)</f>
        <v>4.3659415696943524</v>
      </c>
      <c r="Z15" s="156">
        <f t="shared" si="25"/>
        <v>1</v>
      </c>
      <c r="AA15" s="105"/>
      <c r="AB15" s="106">
        <f>SUM(AB4:AB14)</f>
        <v>0.7672746518391429</v>
      </c>
      <c r="AC15" s="159">
        <f>SUM(AC4:AC14)</f>
        <v>1</v>
      </c>
      <c r="AD15" s="76"/>
      <c r="AE15" s="123" t="str">
        <f>+S15</f>
        <v>TOTAL</v>
      </c>
      <c r="AF15" s="77">
        <f>SUM(AF4:AF14)</f>
        <v>0.8</v>
      </c>
      <c r="AG15" s="77">
        <f>SUM(AG4:AG14)</f>
        <v>0.2</v>
      </c>
      <c r="AH15" s="119">
        <f>SUM(AH4:AH14)</f>
        <v>1</v>
      </c>
    </row>
    <row r="16" spans="1:35" x14ac:dyDescent="0.25">
      <c r="T16" t="s">
        <v>49</v>
      </c>
      <c r="U16" t="s">
        <v>49</v>
      </c>
      <c r="V16" t="s">
        <v>49</v>
      </c>
      <c r="Z16" t="s">
        <v>49</v>
      </c>
      <c r="AD16" s="19"/>
      <c r="AF16" t="s">
        <v>49</v>
      </c>
      <c r="AG16" t="s">
        <v>50</v>
      </c>
    </row>
    <row r="17" spans="14:33" x14ac:dyDescent="0.25">
      <c r="N17" s="6"/>
      <c r="O17" s="6"/>
      <c r="T17" t="s">
        <v>37</v>
      </c>
      <c r="U17" t="s">
        <v>37</v>
      </c>
      <c r="V17" t="s">
        <v>37</v>
      </c>
      <c r="Z17" t="s">
        <v>39</v>
      </c>
      <c r="AA17" t="s">
        <v>42</v>
      </c>
      <c r="AB17" t="s">
        <v>43</v>
      </c>
      <c r="AC17" t="s">
        <v>52</v>
      </c>
      <c r="AD17" s="19"/>
      <c r="AF17" t="s">
        <v>40</v>
      </c>
      <c r="AG17" t="s">
        <v>53</v>
      </c>
    </row>
    <row r="18" spans="14:33" x14ac:dyDescent="0.25">
      <c r="T18" t="s">
        <v>46</v>
      </c>
      <c r="U18" t="s">
        <v>47</v>
      </c>
      <c r="V18" t="s">
        <v>48</v>
      </c>
      <c r="AB18" t="s">
        <v>51</v>
      </c>
      <c r="AD18" s="19"/>
    </row>
  </sheetData>
  <mergeCells count="1">
    <mergeCell ref="T2:AC2"/>
  </mergeCells>
  <phoneticPr fontId="18" type="noConversion"/>
  <pageMargins left="0.70866141732283472" right="0.70866141732283472" top="0.74803149606299213" bottom="0.74803149606299213" header="0.31496062992125984" footer="0.31496062992125984"/>
  <pageSetup paperSize="14" scale="47" orientation="landscape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5FFC9-1CEB-4393-B9D1-EF860FAEEDA7}">
  <sheetPr>
    <tabColor theme="3" tint="0.79998168889431442"/>
    <pageSetUpPr fitToPage="1"/>
  </sheetPr>
  <dimension ref="A2:G19"/>
  <sheetViews>
    <sheetView zoomScale="90" zoomScaleNormal="90" zoomScaleSheetLayoutView="90" workbookViewId="0">
      <selection activeCell="H2" sqref="H2"/>
    </sheetView>
  </sheetViews>
  <sheetFormatPr baseColWidth="10" defaultRowHeight="15" x14ac:dyDescent="0.25"/>
  <cols>
    <col min="1" max="1" width="2.85546875" bestFit="1" customWidth="1"/>
    <col min="2" max="2" width="37.5703125" bestFit="1" customWidth="1"/>
    <col min="3" max="3" width="6.28515625" bestFit="1" customWidth="1"/>
    <col min="7" max="7" width="11.42578125" customWidth="1"/>
  </cols>
  <sheetData>
    <row r="2" spans="1:7" x14ac:dyDescent="0.25">
      <c r="C2" s="17">
        <v>1</v>
      </c>
      <c r="D2" s="17">
        <v>2</v>
      </c>
      <c r="E2" s="17">
        <v>3</v>
      </c>
      <c r="F2" s="17">
        <v>4</v>
      </c>
      <c r="G2" s="17">
        <v>5</v>
      </c>
    </row>
    <row r="3" spans="1:7" ht="63.75" x14ac:dyDescent="0.25">
      <c r="A3" s="13" t="s">
        <v>20</v>
      </c>
      <c r="B3" s="4" t="s">
        <v>1</v>
      </c>
      <c r="C3" s="115" t="s">
        <v>0</v>
      </c>
      <c r="D3" s="109" t="s">
        <v>116</v>
      </c>
      <c r="E3" s="109" t="s">
        <v>117</v>
      </c>
      <c r="F3" s="109" t="s">
        <v>118</v>
      </c>
      <c r="G3" s="109" t="s">
        <v>119</v>
      </c>
    </row>
    <row r="4" spans="1:7" x14ac:dyDescent="0.25">
      <c r="A4" s="7">
        <v>1</v>
      </c>
      <c r="B4" s="14" t="s">
        <v>3</v>
      </c>
      <c r="C4" s="116" t="s">
        <v>2</v>
      </c>
      <c r="D4" s="12">
        <v>2438</v>
      </c>
      <c r="E4" s="12">
        <f>VLOOKUP(C4,'III. Planta Académica'!$C$4:$Q$14,15,0)</f>
        <v>1646</v>
      </c>
      <c r="F4" s="56">
        <f t="shared" ref="F4:F14" si="0">D4/E4</f>
        <v>1.4811664641555287</v>
      </c>
      <c r="G4" s="126">
        <f>F4/$F$15</f>
        <v>0.16365601381015094</v>
      </c>
    </row>
    <row r="5" spans="1:7" x14ac:dyDescent="0.25">
      <c r="A5" s="7">
        <v>2</v>
      </c>
      <c r="B5" s="14" t="s">
        <v>5</v>
      </c>
      <c r="C5" s="116" t="s">
        <v>4</v>
      </c>
      <c r="D5" s="12">
        <v>1057</v>
      </c>
      <c r="E5" s="12">
        <f>VLOOKUP(C5,'III. Planta Académica'!$C$4:$Q$14,15,0)</f>
        <v>973</v>
      </c>
      <c r="F5" s="56">
        <f t="shared" si="0"/>
        <v>1.0863309352517985</v>
      </c>
      <c r="G5" s="126">
        <f t="shared" ref="G5:G14" si="1">F5/$F$15</f>
        <v>0.12003012142414694</v>
      </c>
    </row>
    <row r="6" spans="1:7" x14ac:dyDescent="0.25">
      <c r="A6" s="7">
        <v>3</v>
      </c>
      <c r="B6" s="14" t="s">
        <v>7</v>
      </c>
      <c r="C6" s="116" t="s">
        <v>6</v>
      </c>
      <c r="D6" s="12">
        <v>418</v>
      </c>
      <c r="E6" s="12">
        <f>VLOOKUP(C6,'III. Planta Académica'!$C$4:$Q$14,15,0)</f>
        <v>687</v>
      </c>
      <c r="F6" s="56">
        <f t="shared" si="0"/>
        <v>0.6084425036390102</v>
      </c>
      <c r="G6" s="126">
        <f t="shared" si="1"/>
        <v>6.7227605531158474E-2</v>
      </c>
    </row>
    <row r="7" spans="1:7" x14ac:dyDescent="0.25">
      <c r="A7" s="7">
        <v>4</v>
      </c>
      <c r="B7" s="14" t="s">
        <v>9</v>
      </c>
      <c r="C7" s="116" t="s">
        <v>8</v>
      </c>
      <c r="D7" s="12">
        <v>3442</v>
      </c>
      <c r="E7" s="12">
        <f>VLOOKUP(C7,'III. Planta Académica'!$C$4:$Q$14,15,0)</f>
        <v>3434</v>
      </c>
      <c r="F7" s="56">
        <f t="shared" si="0"/>
        <v>1.0023296447291787</v>
      </c>
      <c r="G7" s="126">
        <f t="shared" si="1"/>
        <v>0.11074870931110789</v>
      </c>
    </row>
    <row r="8" spans="1:7" x14ac:dyDescent="0.25">
      <c r="A8" s="7">
        <v>5</v>
      </c>
      <c r="B8" s="14" t="s">
        <v>11</v>
      </c>
      <c r="C8" s="116" t="s">
        <v>10</v>
      </c>
      <c r="D8" s="12">
        <v>785</v>
      </c>
      <c r="E8" s="12">
        <f>VLOOKUP(C8,'III. Planta Académica'!$C$4:$Q$14,15,0)</f>
        <v>865</v>
      </c>
      <c r="F8" s="56">
        <f t="shared" si="0"/>
        <v>0.90751445086705207</v>
      </c>
      <c r="G8" s="126">
        <f t="shared" si="1"/>
        <v>0.10027245491862187</v>
      </c>
    </row>
    <row r="9" spans="1:7" x14ac:dyDescent="0.25">
      <c r="A9" s="7">
        <v>6</v>
      </c>
      <c r="B9" s="14" t="s">
        <v>13</v>
      </c>
      <c r="C9" s="116" t="s">
        <v>12</v>
      </c>
      <c r="D9" s="12">
        <v>207</v>
      </c>
      <c r="E9" s="12">
        <f>VLOOKUP(C9,'III. Planta Académica'!$C$4:$Q$14,15,0)</f>
        <v>316</v>
      </c>
      <c r="F9" s="56">
        <f t="shared" si="0"/>
        <v>0.65506329113924056</v>
      </c>
      <c r="G9" s="126">
        <f t="shared" si="1"/>
        <v>7.2378797127524958E-2</v>
      </c>
    </row>
    <row r="10" spans="1:7" x14ac:dyDescent="0.25">
      <c r="A10" s="7">
        <v>7</v>
      </c>
      <c r="B10" s="14" t="s">
        <v>84</v>
      </c>
      <c r="C10" s="116" t="s">
        <v>83</v>
      </c>
      <c r="D10" s="12">
        <v>1571</v>
      </c>
      <c r="E10" s="12">
        <f>VLOOKUP(C10,'III. Planta Académica'!$C$4:$Q$14,15,0)</f>
        <v>3184</v>
      </c>
      <c r="F10" s="56">
        <f t="shared" si="0"/>
        <v>0.49340452261306533</v>
      </c>
      <c r="G10" s="126">
        <f t="shared" si="1"/>
        <v>5.451690901791563E-2</v>
      </c>
    </row>
    <row r="11" spans="1:7" x14ac:dyDescent="0.25">
      <c r="A11" s="7">
        <v>8</v>
      </c>
      <c r="B11" s="14" t="s">
        <v>76</v>
      </c>
      <c r="C11" s="116" t="s">
        <v>77</v>
      </c>
      <c r="D11" s="12">
        <v>1291</v>
      </c>
      <c r="E11" s="12">
        <f>VLOOKUP(C11,'III. Planta Académica'!$C$4:$Q$14,15,0)</f>
        <v>1217</v>
      </c>
      <c r="F11" s="56">
        <f t="shared" si="0"/>
        <v>1.0608052588331964</v>
      </c>
      <c r="G11" s="126">
        <f t="shared" si="1"/>
        <v>0.11720975615557608</v>
      </c>
    </row>
    <row r="12" spans="1:7" x14ac:dyDescent="0.25">
      <c r="A12" s="7">
        <v>9</v>
      </c>
      <c r="B12" s="14" t="s">
        <v>78</v>
      </c>
      <c r="C12" s="116" t="s">
        <v>79</v>
      </c>
      <c r="D12" s="12">
        <v>2221</v>
      </c>
      <c r="E12" s="12">
        <f>VLOOKUP(C12,'III. Planta Académica'!$C$4:$Q$14,15,0)</f>
        <v>2784</v>
      </c>
      <c r="F12" s="56">
        <f t="shared" si="0"/>
        <v>0.79777298850574707</v>
      </c>
      <c r="G12" s="126">
        <f t="shared" si="1"/>
        <v>8.8146977658381906E-2</v>
      </c>
    </row>
    <row r="13" spans="1:7" x14ac:dyDescent="0.25">
      <c r="A13" s="7">
        <v>10</v>
      </c>
      <c r="B13" s="14" t="s">
        <v>90</v>
      </c>
      <c r="C13" s="116" t="s">
        <v>91</v>
      </c>
      <c r="D13" s="107">
        <v>885</v>
      </c>
      <c r="E13" s="12">
        <f>VLOOKUP(C13,'III. Planta Académica'!$C$4:$Q$14,15,0)</f>
        <v>1587</v>
      </c>
      <c r="F13" s="56">
        <f t="shared" si="0"/>
        <v>0.55765595463137996</v>
      </c>
      <c r="G13" s="126">
        <f t="shared" si="1"/>
        <v>6.1616133514404862E-2</v>
      </c>
    </row>
    <row r="14" spans="1:7" x14ac:dyDescent="0.25">
      <c r="A14" s="7">
        <v>11</v>
      </c>
      <c r="B14" s="14" t="s">
        <v>95</v>
      </c>
      <c r="C14" s="116" t="s">
        <v>96</v>
      </c>
      <c r="D14" s="107">
        <v>1172</v>
      </c>
      <c r="E14" s="12">
        <f>VLOOKUP(C14,'III. Planta Académica'!$C$4:$Q$14,15,0)</f>
        <v>2930</v>
      </c>
      <c r="F14" s="56">
        <f t="shared" si="0"/>
        <v>0.4</v>
      </c>
      <c r="G14" s="126">
        <f t="shared" si="1"/>
        <v>4.4196521531010405E-2</v>
      </c>
    </row>
    <row r="15" spans="1:7" x14ac:dyDescent="0.25">
      <c r="A15" s="10"/>
      <c r="B15" s="10"/>
      <c r="C15" s="108" t="s">
        <v>14</v>
      </c>
      <c r="D15" s="8">
        <f>SUM(D4:D14)</f>
        <v>15487</v>
      </c>
      <c r="E15" s="8">
        <f t="shared" ref="E15:F15" si="2">SUM(E4:E14)</f>
        <v>19623</v>
      </c>
      <c r="F15" s="8">
        <f t="shared" si="2"/>
        <v>9.0504860143651982</v>
      </c>
      <c r="G15" s="127">
        <f>SUM(G4:G14)</f>
        <v>0.99999999999999989</v>
      </c>
    </row>
    <row r="17" spans="4:7" x14ac:dyDescent="0.25">
      <c r="D17" t="s">
        <v>37</v>
      </c>
      <c r="E17" t="s">
        <v>37</v>
      </c>
      <c r="F17" t="s">
        <v>37</v>
      </c>
      <c r="G17" t="s">
        <v>39</v>
      </c>
    </row>
    <row r="18" spans="4:7" x14ac:dyDescent="0.25">
      <c r="D18" t="s">
        <v>46</v>
      </c>
      <c r="E18" t="s">
        <v>47</v>
      </c>
      <c r="F18" t="s">
        <v>48</v>
      </c>
    </row>
    <row r="19" spans="4:7" x14ac:dyDescent="0.25">
      <c r="F19" t="s">
        <v>38</v>
      </c>
    </row>
  </sheetData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A8267-F1BD-44F2-9D94-D99A6D18B8AC}">
  <sheetPr>
    <tabColor theme="3" tint="0.79998168889431442"/>
    <pageSetUpPr fitToPage="1"/>
  </sheetPr>
  <dimension ref="A2:L18"/>
  <sheetViews>
    <sheetView zoomScale="90" zoomScaleNormal="90" workbookViewId="0">
      <selection activeCell="H2" sqref="H2"/>
    </sheetView>
  </sheetViews>
  <sheetFormatPr baseColWidth="10" defaultRowHeight="15" x14ac:dyDescent="0.25"/>
  <cols>
    <col min="1" max="1" width="2.85546875" bestFit="1" customWidth="1"/>
    <col min="2" max="2" width="37.5703125" bestFit="1" customWidth="1"/>
    <col min="8" max="12" width="11.42578125" style="55"/>
  </cols>
  <sheetData>
    <row r="2" spans="1:12" x14ac:dyDescent="0.25">
      <c r="C2" s="18">
        <v>1</v>
      </c>
      <c r="D2" s="18">
        <v>2</v>
      </c>
      <c r="E2" s="18">
        <v>3</v>
      </c>
      <c r="F2" s="18">
        <v>4</v>
      </c>
      <c r="G2" s="18">
        <v>5</v>
      </c>
    </row>
    <row r="3" spans="1:12" ht="63.75" x14ac:dyDescent="0.25">
      <c r="A3" s="5" t="s">
        <v>20</v>
      </c>
      <c r="B3" s="4" t="s">
        <v>1</v>
      </c>
      <c r="C3" s="115" t="s">
        <v>0</v>
      </c>
      <c r="D3" s="109" t="s">
        <v>120</v>
      </c>
      <c r="E3" s="109" t="s">
        <v>121</v>
      </c>
      <c r="F3" s="109" t="s">
        <v>122</v>
      </c>
      <c r="G3" s="109" t="s">
        <v>123</v>
      </c>
      <c r="H3"/>
      <c r="I3"/>
      <c r="J3"/>
      <c r="K3"/>
      <c r="L3"/>
    </row>
    <row r="4" spans="1:12" x14ac:dyDescent="0.25">
      <c r="A4" s="1">
        <v>1</v>
      </c>
      <c r="B4" s="14" t="s">
        <v>3</v>
      </c>
      <c r="C4" s="116" t="s">
        <v>2</v>
      </c>
      <c r="D4" s="12">
        <v>27038</v>
      </c>
      <c r="E4" s="12">
        <v>2438</v>
      </c>
      <c r="F4" s="57">
        <f t="shared" ref="F4:F12" si="0">D4/E4</f>
        <v>11.090237899917966</v>
      </c>
      <c r="G4" s="128">
        <f t="shared" ref="G4:G14" si="1">F4/$F$15</f>
        <v>0.12472543356883793</v>
      </c>
      <c r="H4"/>
      <c r="I4"/>
      <c r="J4"/>
      <c r="K4"/>
      <c r="L4"/>
    </row>
    <row r="5" spans="1:12" x14ac:dyDescent="0.25">
      <c r="A5" s="1">
        <v>2</v>
      </c>
      <c r="B5" s="14" t="s">
        <v>5</v>
      </c>
      <c r="C5" s="116" t="s">
        <v>4</v>
      </c>
      <c r="D5" s="12">
        <v>3989</v>
      </c>
      <c r="E5" s="12">
        <v>1057</v>
      </c>
      <c r="F5" s="57">
        <f t="shared" si="0"/>
        <v>3.773888363292337</v>
      </c>
      <c r="G5" s="128">
        <f t="shared" si="1"/>
        <v>4.2442720038991286E-2</v>
      </c>
      <c r="H5"/>
      <c r="I5"/>
      <c r="J5"/>
      <c r="K5"/>
      <c r="L5"/>
    </row>
    <row r="6" spans="1:12" x14ac:dyDescent="0.25">
      <c r="A6" s="1">
        <v>3</v>
      </c>
      <c r="B6" s="14" t="s">
        <v>7</v>
      </c>
      <c r="C6" s="116" t="s">
        <v>6</v>
      </c>
      <c r="D6" s="12">
        <v>1331</v>
      </c>
      <c r="E6" s="12">
        <v>418</v>
      </c>
      <c r="F6" s="57">
        <f t="shared" si="0"/>
        <v>3.1842105263157894</v>
      </c>
      <c r="G6" s="128">
        <f t="shared" si="1"/>
        <v>3.5810957533393598E-2</v>
      </c>
      <c r="H6"/>
      <c r="I6"/>
      <c r="J6"/>
      <c r="K6"/>
      <c r="L6"/>
    </row>
    <row r="7" spans="1:12" x14ac:dyDescent="0.25">
      <c r="A7" s="1">
        <v>4</v>
      </c>
      <c r="B7" s="14" t="s">
        <v>9</v>
      </c>
      <c r="C7" s="116" t="s">
        <v>8</v>
      </c>
      <c r="D7" s="12">
        <v>43907</v>
      </c>
      <c r="E7" s="12">
        <v>3442</v>
      </c>
      <c r="F7" s="57">
        <f t="shared" si="0"/>
        <v>12.756246368390471</v>
      </c>
      <c r="G7" s="128">
        <f t="shared" si="1"/>
        <v>0.14346205855693903</v>
      </c>
      <c r="H7"/>
      <c r="I7"/>
      <c r="J7"/>
      <c r="K7"/>
      <c r="L7"/>
    </row>
    <row r="8" spans="1:12" x14ac:dyDescent="0.25">
      <c r="A8" s="1">
        <v>5</v>
      </c>
      <c r="B8" s="14" t="s">
        <v>11</v>
      </c>
      <c r="C8" s="116" t="s">
        <v>10</v>
      </c>
      <c r="D8" s="12">
        <v>5837</v>
      </c>
      <c r="E8" s="12">
        <v>785</v>
      </c>
      <c r="F8" s="57">
        <f t="shared" si="0"/>
        <v>7.4356687898089175</v>
      </c>
      <c r="G8" s="128">
        <f t="shared" si="1"/>
        <v>8.3624627537525933E-2</v>
      </c>
      <c r="H8"/>
      <c r="I8"/>
      <c r="J8"/>
      <c r="K8"/>
      <c r="L8"/>
    </row>
    <row r="9" spans="1:12" x14ac:dyDescent="0.25">
      <c r="A9" s="1">
        <v>6</v>
      </c>
      <c r="B9" s="14" t="s">
        <v>13</v>
      </c>
      <c r="C9" s="116" t="s">
        <v>12</v>
      </c>
      <c r="D9" s="12">
        <v>454</v>
      </c>
      <c r="E9" s="12">
        <v>207</v>
      </c>
      <c r="F9" s="57">
        <f t="shared" si="0"/>
        <v>2.1932367149758454</v>
      </c>
      <c r="G9" s="128">
        <f t="shared" si="1"/>
        <v>2.4666053394263039E-2</v>
      </c>
      <c r="H9"/>
      <c r="I9"/>
      <c r="J9"/>
      <c r="K9"/>
      <c r="L9"/>
    </row>
    <row r="10" spans="1:12" x14ac:dyDescent="0.25">
      <c r="A10" s="1">
        <v>7</v>
      </c>
      <c r="B10" s="14" t="s">
        <v>84</v>
      </c>
      <c r="C10" s="116" t="s">
        <v>83</v>
      </c>
      <c r="D10" s="12">
        <v>10604</v>
      </c>
      <c r="E10" s="12">
        <v>1571</v>
      </c>
      <c r="F10" s="57">
        <f t="shared" si="0"/>
        <v>6.7498408656906426</v>
      </c>
      <c r="G10" s="128">
        <f t="shared" si="1"/>
        <v>7.591152111355097E-2</v>
      </c>
      <c r="H10"/>
      <c r="I10"/>
      <c r="J10"/>
      <c r="K10"/>
      <c r="L10"/>
    </row>
    <row r="11" spans="1:12" x14ac:dyDescent="0.25">
      <c r="A11" s="1">
        <v>8</v>
      </c>
      <c r="B11" s="14" t="s">
        <v>76</v>
      </c>
      <c r="C11" s="116" t="s">
        <v>77</v>
      </c>
      <c r="D11" s="12">
        <v>8645</v>
      </c>
      <c r="E11" s="12">
        <v>1291</v>
      </c>
      <c r="F11" s="57">
        <f t="shared" si="0"/>
        <v>6.6963594113090625</v>
      </c>
      <c r="G11" s="128">
        <f t="shared" si="1"/>
        <v>7.5310046407072034E-2</v>
      </c>
      <c r="H11"/>
      <c r="I11"/>
      <c r="J11"/>
      <c r="K11"/>
      <c r="L11"/>
    </row>
    <row r="12" spans="1:12" x14ac:dyDescent="0.25">
      <c r="A12" s="1">
        <v>9</v>
      </c>
      <c r="B12" s="14" t="s">
        <v>78</v>
      </c>
      <c r="C12" s="116" t="s">
        <v>79</v>
      </c>
      <c r="D12" s="12">
        <v>31324</v>
      </c>
      <c r="E12" s="12">
        <v>2221</v>
      </c>
      <c r="F12" s="57">
        <f t="shared" si="0"/>
        <v>14.103556956325979</v>
      </c>
      <c r="G12" s="128">
        <f t="shared" si="1"/>
        <v>0.15861447446980104</v>
      </c>
      <c r="H12"/>
      <c r="I12"/>
      <c r="J12"/>
      <c r="K12"/>
      <c r="L12"/>
    </row>
    <row r="13" spans="1:12" x14ac:dyDescent="0.25">
      <c r="A13" s="1">
        <v>10</v>
      </c>
      <c r="B13" s="14" t="s">
        <v>90</v>
      </c>
      <c r="C13" s="116" t="s">
        <v>91</v>
      </c>
      <c r="D13" s="12">
        <v>11032</v>
      </c>
      <c r="E13" s="12">
        <v>885</v>
      </c>
      <c r="F13" s="57">
        <f>D13/E13</f>
        <v>12.465536723163842</v>
      </c>
      <c r="G13" s="128">
        <f t="shared" si="1"/>
        <v>0.14019261683073381</v>
      </c>
      <c r="H13"/>
      <c r="I13"/>
      <c r="J13"/>
      <c r="K13"/>
      <c r="L13"/>
    </row>
    <row r="14" spans="1:12" x14ac:dyDescent="0.25">
      <c r="A14" s="1">
        <v>11</v>
      </c>
      <c r="B14" s="14" t="s">
        <v>95</v>
      </c>
      <c r="C14" s="116" t="s">
        <v>96</v>
      </c>
      <c r="D14" s="12">
        <v>9925</v>
      </c>
      <c r="E14" s="12">
        <v>1172</v>
      </c>
      <c r="F14" s="57">
        <f>D14/E14</f>
        <v>8.4684300341296925</v>
      </c>
      <c r="G14" s="128">
        <f t="shared" si="1"/>
        <v>9.5239490548891456E-2</v>
      </c>
      <c r="H14"/>
      <c r="I14"/>
      <c r="J14"/>
      <c r="K14"/>
      <c r="L14"/>
    </row>
    <row r="15" spans="1:12" x14ac:dyDescent="0.25">
      <c r="A15" s="2"/>
      <c r="B15" s="10"/>
      <c r="C15" s="117" t="s">
        <v>14</v>
      </c>
      <c r="D15" s="8">
        <v>154086</v>
      </c>
      <c r="E15" s="8">
        <v>15487</v>
      </c>
      <c r="F15" s="8">
        <f t="shared" ref="F15" si="2">SUM(F4:F14)</f>
        <v>88.917212653320533</v>
      </c>
      <c r="G15" s="129">
        <f>SUM(G4:G14)</f>
        <v>1</v>
      </c>
      <c r="H15"/>
      <c r="I15"/>
      <c r="J15"/>
      <c r="K15"/>
      <c r="L15"/>
    </row>
    <row r="16" spans="1:12" x14ac:dyDescent="0.25">
      <c r="B16" s="9"/>
      <c r="C16" s="9"/>
      <c r="D16" s="9" t="s">
        <v>37</v>
      </c>
      <c r="E16" s="9" t="s">
        <v>37</v>
      </c>
      <c r="F16" s="9" t="s">
        <v>37</v>
      </c>
      <c r="G16" s="9" t="s">
        <v>39</v>
      </c>
      <c r="H16"/>
      <c r="I16"/>
      <c r="J16"/>
      <c r="K16"/>
      <c r="L16"/>
    </row>
    <row r="17" spans="4:12" x14ac:dyDescent="0.25">
      <c r="D17" t="s">
        <v>46</v>
      </c>
      <c r="E17" t="s">
        <v>47</v>
      </c>
      <c r="F17" t="s">
        <v>48</v>
      </c>
      <c r="H17"/>
      <c r="I17"/>
      <c r="J17"/>
      <c r="K17"/>
      <c r="L17"/>
    </row>
    <row r="18" spans="4:12" x14ac:dyDescent="0.25">
      <c r="F18" t="s">
        <v>38</v>
      </c>
    </row>
  </sheetData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77872-8CF4-4A12-AB93-F30A9B9A9866}">
  <sheetPr>
    <tabColor theme="3" tint="0.79998168889431442"/>
    <pageSetUpPr fitToPage="1"/>
  </sheetPr>
  <dimension ref="A1:S17"/>
  <sheetViews>
    <sheetView zoomScale="90" zoomScaleNormal="90" workbookViewId="0">
      <selection activeCell="F2" sqref="F2"/>
    </sheetView>
  </sheetViews>
  <sheetFormatPr baseColWidth="10" defaultRowHeight="15" x14ac:dyDescent="0.25"/>
  <cols>
    <col min="1" max="1" width="2.85546875" bestFit="1" customWidth="1"/>
    <col min="2" max="2" width="37.5703125" bestFit="1" customWidth="1"/>
  </cols>
  <sheetData>
    <row r="1" spans="1:19" x14ac:dyDescent="0.25"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x14ac:dyDescent="0.25">
      <c r="C2" s="21">
        <v>1</v>
      </c>
      <c r="D2" s="21">
        <v>2</v>
      </c>
      <c r="E2" s="21">
        <v>3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5.5" x14ac:dyDescent="0.25">
      <c r="A3" s="5" t="s">
        <v>20</v>
      </c>
      <c r="B3" s="4" t="s">
        <v>1</v>
      </c>
      <c r="C3" s="130" t="s">
        <v>0</v>
      </c>
      <c r="D3" s="109" t="s">
        <v>112</v>
      </c>
      <c r="E3" s="109" t="s">
        <v>113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x14ac:dyDescent="0.25">
      <c r="A4" s="1">
        <v>1</v>
      </c>
      <c r="B4" s="3" t="s">
        <v>3</v>
      </c>
      <c r="C4" s="131" t="s">
        <v>2</v>
      </c>
      <c r="D4" s="79">
        <v>118</v>
      </c>
      <c r="E4" s="134">
        <f>+D4/$D$15</f>
        <v>0.21223021582733814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x14ac:dyDescent="0.25">
      <c r="A5" s="1">
        <v>2</v>
      </c>
      <c r="B5" s="3" t="s">
        <v>5</v>
      </c>
      <c r="C5" s="131" t="s">
        <v>4</v>
      </c>
      <c r="D5" s="79">
        <v>76</v>
      </c>
      <c r="E5" s="134">
        <f t="shared" ref="E5:E14" si="0">+D5/$D$15</f>
        <v>0.1366906474820144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19" x14ac:dyDescent="0.25">
      <c r="A6" s="1">
        <v>3</v>
      </c>
      <c r="B6" s="3" t="s">
        <v>7</v>
      </c>
      <c r="C6" s="131" t="s">
        <v>6</v>
      </c>
      <c r="D6" s="79">
        <v>28</v>
      </c>
      <c r="E6" s="134">
        <f t="shared" si="0"/>
        <v>5.0359712230215826E-2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x14ac:dyDescent="0.25">
      <c r="A7" s="1">
        <v>4</v>
      </c>
      <c r="B7" s="3" t="s">
        <v>9</v>
      </c>
      <c r="C7" s="131" t="s">
        <v>8</v>
      </c>
      <c r="D7" s="79">
        <v>87</v>
      </c>
      <c r="E7" s="134">
        <f t="shared" si="0"/>
        <v>0.15647482014388489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19" x14ac:dyDescent="0.25">
      <c r="A8" s="1">
        <v>5</v>
      </c>
      <c r="B8" s="3" t="s">
        <v>11</v>
      </c>
      <c r="C8" s="131" t="s">
        <v>10</v>
      </c>
      <c r="D8" s="79">
        <v>24</v>
      </c>
      <c r="E8" s="134">
        <f t="shared" si="0"/>
        <v>4.3165467625899283E-2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9" x14ac:dyDescent="0.25">
      <c r="A9" s="1">
        <v>6</v>
      </c>
      <c r="B9" s="3" t="s">
        <v>13</v>
      </c>
      <c r="C9" s="131" t="s">
        <v>12</v>
      </c>
      <c r="D9" s="79">
        <v>11</v>
      </c>
      <c r="E9" s="134">
        <f t="shared" si="0"/>
        <v>1.9784172661870502E-2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19" x14ac:dyDescent="0.25">
      <c r="A10" s="1">
        <v>7</v>
      </c>
      <c r="B10" s="3" t="s">
        <v>84</v>
      </c>
      <c r="C10" s="131" t="s">
        <v>83</v>
      </c>
      <c r="D10" s="79">
        <v>37</v>
      </c>
      <c r="E10" s="134">
        <f t="shared" si="0"/>
        <v>6.654676258992806E-2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19" x14ac:dyDescent="0.25">
      <c r="A11" s="1">
        <v>8</v>
      </c>
      <c r="B11" s="3" t="s">
        <v>76</v>
      </c>
      <c r="C11" s="131" t="s">
        <v>77</v>
      </c>
      <c r="D11" s="79">
        <v>27</v>
      </c>
      <c r="E11" s="134">
        <f t="shared" si="0"/>
        <v>4.8561151079136694E-2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19" x14ac:dyDescent="0.25">
      <c r="A12" s="1">
        <v>9</v>
      </c>
      <c r="B12" s="3" t="s">
        <v>78</v>
      </c>
      <c r="C12" s="131" t="s">
        <v>79</v>
      </c>
      <c r="D12" s="79">
        <v>90</v>
      </c>
      <c r="E12" s="134">
        <f t="shared" si="0"/>
        <v>0.16187050359712229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19" x14ac:dyDescent="0.25">
      <c r="A13" s="1">
        <v>10</v>
      </c>
      <c r="B13" s="3" t="s">
        <v>90</v>
      </c>
      <c r="C13" s="132" t="s">
        <v>91</v>
      </c>
      <c r="D13" s="79">
        <v>37</v>
      </c>
      <c r="E13" s="134">
        <f t="shared" si="0"/>
        <v>6.654676258992806E-2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 x14ac:dyDescent="0.25">
      <c r="A14" s="1">
        <v>11</v>
      </c>
      <c r="B14" s="3" t="s">
        <v>95</v>
      </c>
      <c r="C14" s="132" t="s">
        <v>96</v>
      </c>
      <c r="D14" s="79">
        <v>21</v>
      </c>
      <c r="E14" s="134">
        <f t="shared" si="0"/>
        <v>3.7769784172661872E-2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19" x14ac:dyDescent="0.25">
      <c r="A15" s="2"/>
      <c r="B15" s="2"/>
      <c r="C15" s="133" t="s">
        <v>14</v>
      </c>
      <c r="D15" s="78">
        <v>556</v>
      </c>
      <c r="E15" s="129">
        <f>SUM(E4:E14)</f>
        <v>1.0000000000000002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19" x14ac:dyDescent="0.25">
      <c r="D16" t="s">
        <v>37</v>
      </c>
      <c r="E16" t="s">
        <v>39</v>
      </c>
    </row>
    <row r="17" spans="4:4" x14ac:dyDescent="0.25">
      <c r="D17" t="s">
        <v>38</v>
      </c>
    </row>
  </sheetData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6558C-33CF-41E9-8418-041BF7DD9104}">
  <sheetPr>
    <tabColor theme="3" tint="0.79998168889431442"/>
    <pageSetUpPr fitToPage="1"/>
  </sheetPr>
  <dimension ref="A1:R24"/>
  <sheetViews>
    <sheetView zoomScale="90" zoomScaleNormal="90" workbookViewId="0">
      <selection activeCell="S3" sqref="S3"/>
    </sheetView>
  </sheetViews>
  <sheetFormatPr baseColWidth="10" defaultRowHeight="12.75" x14ac:dyDescent="0.2"/>
  <cols>
    <col min="1" max="1" width="2.85546875" style="10" bestFit="1" customWidth="1"/>
    <col min="2" max="2" width="37.5703125" style="10" bestFit="1" customWidth="1"/>
    <col min="3" max="3" width="11.42578125" style="10" customWidth="1"/>
    <col min="4" max="7" width="10" style="10" customWidth="1"/>
    <col min="8" max="8" width="11.28515625" style="10" customWidth="1"/>
    <col min="9" max="10" width="11.42578125" style="10"/>
    <col min="11" max="11" width="12.140625" style="10" customWidth="1"/>
    <col min="12" max="12" width="16.85546875" style="10" bestFit="1" customWidth="1"/>
    <col min="13" max="13" width="11.42578125" style="10"/>
    <col min="14" max="14" width="4.85546875" style="10" customWidth="1"/>
    <col min="15" max="15" width="6.28515625" style="10" bestFit="1" customWidth="1"/>
    <col min="16" max="17" width="7.5703125" style="10" customWidth="1"/>
    <col min="18" max="16384" width="11.42578125" style="10"/>
  </cols>
  <sheetData>
    <row r="1" spans="1:18" ht="12" customHeight="1" x14ac:dyDescent="0.2">
      <c r="R1" s="21"/>
    </row>
    <row r="2" spans="1:18" s="2" customFormat="1" x14ac:dyDescent="0.2"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O2" s="21">
        <v>1</v>
      </c>
      <c r="P2" s="21">
        <v>2</v>
      </c>
      <c r="Q2" s="21">
        <v>3</v>
      </c>
      <c r="R2" s="21">
        <v>4</v>
      </c>
    </row>
    <row r="3" spans="1:18" s="2" customFormat="1" ht="15.75" thickBot="1" x14ac:dyDescent="0.3">
      <c r="C3"/>
      <c r="D3"/>
      <c r="E3"/>
      <c r="F3"/>
      <c r="G3"/>
      <c r="H3"/>
      <c r="I3"/>
      <c r="J3"/>
      <c r="K3"/>
      <c r="L3"/>
      <c r="M3"/>
      <c r="P3" s="139">
        <v>0.8</v>
      </c>
      <c r="Q3" s="139">
        <v>0.2</v>
      </c>
    </row>
    <row r="4" spans="1:18" s="2" customFormat="1" ht="102" x14ac:dyDescent="0.2">
      <c r="A4" s="5" t="s">
        <v>20</v>
      </c>
      <c r="B4" s="4" t="s">
        <v>1</v>
      </c>
      <c r="C4" s="28" t="s">
        <v>0</v>
      </c>
      <c r="D4" s="59" t="s">
        <v>87</v>
      </c>
      <c r="E4" s="60" t="s">
        <v>94</v>
      </c>
      <c r="F4" s="61" t="s">
        <v>103</v>
      </c>
      <c r="G4" s="62" t="s">
        <v>124</v>
      </c>
      <c r="H4" s="58" t="s">
        <v>125</v>
      </c>
      <c r="I4" s="41" t="s">
        <v>126</v>
      </c>
      <c r="J4" s="58" t="s">
        <v>104</v>
      </c>
      <c r="K4" s="11" t="s">
        <v>127</v>
      </c>
      <c r="L4" s="11" t="s">
        <v>128</v>
      </c>
      <c r="M4" s="41" t="s">
        <v>31</v>
      </c>
      <c r="N4" s="10"/>
      <c r="O4" s="115" t="s">
        <v>0</v>
      </c>
      <c r="P4" s="135" t="s">
        <v>33</v>
      </c>
      <c r="Q4" s="136" t="s">
        <v>32</v>
      </c>
      <c r="R4" s="137" t="s">
        <v>35</v>
      </c>
    </row>
    <row r="5" spans="1:18" s="2" customFormat="1" x14ac:dyDescent="0.2">
      <c r="A5" s="1">
        <v>1</v>
      </c>
      <c r="B5" s="3" t="s">
        <v>3</v>
      </c>
      <c r="C5" s="29" t="s">
        <v>2</v>
      </c>
      <c r="D5" s="63">
        <v>433</v>
      </c>
      <c r="E5" s="63">
        <v>487</v>
      </c>
      <c r="F5" s="64">
        <v>562</v>
      </c>
      <c r="G5" s="65">
        <v>564</v>
      </c>
      <c r="H5" s="66">
        <f>SUM(E5:G5)</f>
        <v>1613</v>
      </c>
      <c r="I5" s="40">
        <f t="shared" ref="I5:I15" si="0">+H5/$H$16</f>
        <v>0.15707469081702211</v>
      </c>
      <c r="J5" s="69">
        <f>SUM(D5:F5)</f>
        <v>1482</v>
      </c>
      <c r="K5" s="97">
        <f>+H5/J5-1</f>
        <v>8.8394062078272606E-2</v>
      </c>
      <c r="L5" s="71">
        <f t="shared" ref="L5:L15" si="1">IF(K5&lt;0,0,K5)</f>
        <v>8.8394062078272606E-2</v>
      </c>
      <c r="M5" s="73">
        <f t="shared" ref="M5:M15" si="2">+L5/$L$16</f>
        <v>7.8417448362703576E-2</v>
      </c>
      <c r="N5" s="10"/>
      <c r="O5" s="116" t="s">
        <v>2</v>
      </c>
      <c r="P5" s="20">
        <f t="shared" ref="P5:P14" si="3">+I5*$P$3</f>
        <v>0.1256597526536177</v>
      </c>
      <c r="Q5" s="20">
        <f t="shared" ref="Q5:Q14" si="4">+M5*$Q$3</f>
        <v>1.5683489672540716E-2</v>
      </c>
      <c r="R5" s="128">
        <f>SUM(P5:Q5)</f>
        <v>0.14134324232615841</v>
      </c>
    </row>
    <row r="6" spans="1:18" s="2" customFormat="1" x14ac:dyDescent="0.2">
      <c r="A6" s="1">
        <v>2</v>
      </c>
      <c r="B6" s="3" t="s">
        <v>5</v>
      </c>
      <c r="C6" s="29" t="s">
        <v>4</v>
      </c>
      <c r="D6" s="63">
        <v>181</v>
      </c>
      <c r="E6" s="63">
        <v>240</v>
      </c>
      <c r="F6" s="64">
        <v>212</v>
      </c>
      <c r="G6" s="65">
        <v>253</v>
      </c>
      <c r="H6" s="66">
        <f t="shared" ref="H6:H15" si="5">SUM(E6:G6)</f>
        <v>705</v>
      </c>
      <c r="I6" s="40">
        <f t="shared" si="0"/>
        <v>6.8653228162430621E-2</v>
      </c>
      <c r="J6" s="69">
        <f t="shared" ref="J6:J15" si="6">SUM(D6:F6)</f>
        <v>633</v>
      </c>
      <c r="K6" s="97">
        <f t="shared" ref="K6:K15" si="7">+H6/J6-1</f>
        <v>0.11374407582938395</v>
      </c>
      <c r="L6" s="71">
        <f t="shared" si="1"/>
        <v>0.11374407582938395</v>
      </c>
      <c r="M6" s="73">
        <f t="shared" si="2"/>
        <v>0.10090632767861663</v>
      </c>
      <c r="N6" s="10"/>
      <c r="O6" s="116" t="s">
        <v>4</v>
      </c>
      <c r="P6" s="20">
        <f t="shared" si="3"/>
        <v>5.4922582529944503E-2</v>
      </c>
      <c r="Q6" s="20">
        <f t="shared" si="4"/>
        <v>2.0181265535723327E-2</v>
      </c>
      <c r="R6" s="128">
        <f t="shared" ref="R6:R15" si="8">SUM(P6:Q6)</f>
        <v>7.5103848065667833E-2</v>
      </c>
    </row>
    <row r="7" spans="1:18" s="2" customFormat="1" x14ac:dyDescent="0.2">
      <c r="A7" s="1">
        <v>3</v>
      </c>
      <c r="B7" s="3" t="s">
        <v>7</v>
      </c>
      <c r="C7" s="29" t="s">
        <v>6</v>
      </c>
      <c r="D7" s="63">
        <v>68</v>
      </c>
      <c r="E7" s="63">
        <v>87</v>
      </c>
      <c r="F7" s="64">
        <v>83</v>
      </c>
      <c r="G7" s="65">
        <v>117</v>
      </c>
      <c r="H7" s="66">
        <f t="shared" si="5"/>
        <v>287</v>
      </c>
      <c r="I7" s="40">
        <f t="shared" si="0"/>
        <v>2.7948193592365372E-2</v>
      </c>
      <c r="J7" s="69">
        <f t="shared" si="6"/>
        <v>238</v>
      </c>
      <c r="K7" s="97">
        <f t="shared" si="7"/>
        <v>0.20588235294117641</v>
      </c>
      <c r="L7" s="71">
        <f t="shared" si="1"/>
        <v>0.20588235294117641</v>
      </c>
      <c r="M7" s="73">
        <f t="shared" si="2"/>
        <v>0.18264539948690764</v>
      </c>
      <c r="N7" s="10"/>
      <c r="O7" s="116" t="s">
        <v>6</v>
      </c>
      <c r="P7" s="20">
        <f t="shared" si="3"/>
        <v>2.2358554873892298E-2</v>
      </c>
      <c r="Q7" s="20">
        <f t="shared" si="4"/>
        <v>3.6529079897381529E-2</v>
      </c>
      <c r="R7" s="128">
        <f t="shared" si="8"/>
        <v>5.8887634771273831E-2</v>
      </c>
    </row>
    <row r="8" spans="1:18" s="2" customFormat="1" x14ac:dyDescent="0.2">
      <c r="A8" s="1">
        <v>4</v>
      </c>
      <c r="B8" s="3" t="s">
        <v>9</v>
      </c>
      <c r="C8" s="29" t="s">
        <v>8</v>
      </c>
      <c r="D8" s="63">
        <v>693</v>
      </c>
      <c r="E8" s="63">
        <v>729</v>
      </c>
      <c r="F8" s="64">
        <v>720</v>
      </c>
      <c r="G8" s="65">
        <v>682</v>
      </c>
      <c r="H8" s="66">
        <f t="shared" si="5"/>
        <v>2131</v>
      </c>
      <c r="I8" s="40">
        <f t="shared" si="0"/>
        <v>0.20751777193494986</v>
      </c>
      <c r="J8" s="69">
        <f t="shared" si="6"/>
        <v>2142</v>
      </c>
      <c r="K8" s="97">
        <f t="shared" si="7"/>
        <v>-5.1353874883286466E-3</v>
      </c>
      <c r="L8" s="71">
        <f t="shared" si="1"/>
        <v>0</v>
      </c>
      <c r="M8" s="73">
        <f t="shared" si="2"/>
        <v>0</v>
      </c>
      <c r="N8" s="10"/>
      <c r="O8" s="116" t="s">
        <v>8</v>
      </c>
      <c r="P8" s="20">
        <f t="shared" si="3"/>
        <v>0.16601421754795989</v>
      </c>
      <c r="Q8" s="20">
        <f t="shared" si="4"/>
        <v>0</v>
      </c>
      <c r="R8" s="128">
        <f t="shared" si="8"/>
        <v>0.16601421754795989</v>
      </c>
    </row>
    <row r="9" spans="1:18" s="2" customFormat="1" x14ac:dyDescent="0.2">
      <c r="A9" s="1">
        <v>5</v>
      </c>
      <c r="B9" s="3" t="s">
        <v>11</v>
      </c>
      <c r="C9" s="29" t="s">
        <v>10</v>
      </c>
      <c r="D9" s="63">
        <v>128</v>
      </c>
      <c r="E9" s="63">
        <v>183</v>
      </c>
      <c r="F9" s="64">
        <v>169</v>
      </c>
      <c r="G9" s="65">
        <v>202</v>
      </c>
      <c r="H9" s="66">
        <f t="shared" si="5"/>
        <v>554</v>
      </c>
      <c r="I9" s="40">
        <f t="shared" si="0"/>
        <v>5.3948777875158241E-2</v>
      </c>
      <c r="J9" s="69">
        <f t="shared" si="6"/>
        <v>480</v>
      </c>
      <c r="K9" s="97">
        <f t="shared" si="7"/>
        <v>0.15416666666666656</v>
      </c>
      <c r="L9" s="71">
        <f t="shared" si="1"/>
        <v>0.15416666666666656</v>
      </c>
      <c r="M9" s="73">
        <f t="shared" si="2"/>
        <v>0.13676661461579151</v>
      </c>
      <c r="N9" s="10"/>
      <c r="O9" s="116" t="s">
        <v>10</v>
      </c>
      <c r="P9" s="20">
        <f t="shared" si="3"/>
        <v>4.3159022300126595E-2</v>
      </c>
      <c r="Q9" s="20">
        <f t="shared" si="4"/>
        <v>2.7353322923158303E-2</v>
      </c>
      <c r="R9" s="128">
        <f t="shared" si="8"/>
        <v>7.0512345223284895E-2</v>
      </c>
    </row>
    <row r="10" spans="1:18" s="2" customFormat="1" x14ac:dyDescent="0.2">
      <c r="A10" s="1">
        <v>6</v>
      </c>
      <c r="B10" s="3" t="s">
        <v>13</v>
      </c>
      <c r="C10" s="29" t="s">
        <v>12</v>
      </c>
      <c r="D10" s="63">
        <v>51</v>
      </c>
      <c r="E10" s="63">
        <v>60</v>
      </c>
      <c r="F10" s="64">
        <v>30</v>
      </c>
      <c r="G10" s="65">
        <v>27</v>
      </c>
      <c r="H10" s="66">
        <f t="shared" si="5"/>
        <v>117</v>
      </c>
      <c r="I10" s="40">
        <f t="shared" si="0"/>
        <v>1.1393514460999123E-2</v>
      </c>
      <c r="J10" s="69">
        <f t="shared" si="6"/>
        <v>141</v>
      </c>
      <c r="K10" s="97">
        <f t="shared" si="7"/>
        <v>-0.17021276595744683</v>
      </c>
      <c r="L10" s="71">
        <f t="shared" si="1"/>
        <v>0</v>
      </c>
      <c r="M10" s="73">
        <f t="shared" si="2"/>
        <v>0</v>
      </c>
      <c r="N10" s="10"/>
      <c r="O10" s="116" t="s">
        <v>12</v>
      </c>
      <c r="P10" s="20">
        <f t="shared" si="3"/>
        <v>9.114811568799298E-3</v>
      </c>
      <c r="Q10" s="20">
        <f t="shared" si="4"/>
        <v>0</v>
      </c>
      <c r="R10" s="128">
        <f t="shared" si="8"/>
        <v>9.114811568799298E-3</v>
      </c>
    </row>
    <row r="11" spans="1:18" s="2" customFormat="1" x14ac:dyDescent="0.2">
      <c r="A11" s="1">
        <v>7</v>
      </c>
      <c r="B11" s="3" t="s">
        <v>84</v>
      </c>
      <c r="C11" s="29" t="s">
        <v>83</v>
      </c>
      <c r="D11" s="63">
        <v>275</v>
      </c>
      <c r="E11" s="63">
        <v>351</v>
      </c>
      <c r="F11" s="64">
        <v>377</v>
      </c>
      <c r="G11" s="65">
        <v>363</v>
      </c>
      <c r="H11" s="66">
        <f t="shared" si="5"/>
        <v>1091</v>
      </c>
      <c r="I11" s="40">
        <f t="shared" si="0"/>
        <v>0.10624208783717987</v>
      </c>
      <c r="J11" s="69">
        <f t="shared" si="6"/>
        <v>1003</v>
      </c>
      <c r="K11" s="97">
        <f t="shared" si="7"/>
        <v>8.773678963110676E-2</v>
      </c>
      <c r="L11" s="71">
        <f t="shared" si="1"/>
        <v>8.773678963110676E-2</v>
      </c>
      <c r="M11" s="73">
        <f t="shared" si="2"/>
        <v>7.7834359103379616E-2</v>
      </c>
      <c r="N11" s="10"/>
      <c r="O11" s="116" t="s">
        <v>83</v>
      </c>
      <c r="P11" s="20">
        <f t="shared" si="3"/>
        <v>8.4993670269743901E-2</v>
      </c>
      <c r="Q11" s="20">
        <f t="shared" si="4"/>
        <v>1.5566871820675924E-2</v>
      </c>
      <c r="R11" s="128">
        <f t="shared" si="8"/>
        <v>0.10056054209041983</v>
      </c>
    </row>
    <row r="12" spans="1:18" s="2" customFormat="1" x14ac:dyDescent="0.2">
      <c r="A12" s="1">
        <v>8</v>
      </c>
      <c r="B12" s="3" t="s">
        <v>76</v>
      </c>
      <c r="C12" s="7" t="s">
        <v>77</v>
      </c>
      <c r="D12" s="63">
        <v>194</v>
      </c>
      <c r="E12" s="63">
        <v>292</v>
      </c>
      <c r="F12" s="64">
        <v>324</v>
      </c>
      <c r="G12" s="65">
        <v>306</v>
      </c>
      <c r="H12" s="66">
        <f t="shared" si="5"/>
        <v>922</v>
      </c>
      <c r="I12" s="40">
        <f t="shared" si="0"/>
        <v>8.9784789171292234E-2</v>
      </c>
      <c r="J12" s="69">
        <f t="shared" si="6"/>
        <v>810</v>
      </c>
      <c r="K12" s="97">
        <f t="shared" si="7"/>
        <v>0.13827160493827151</v>
      </c>
      <c r="L12" s="71">
        <f t="shared" si="1"/>
        <v>0.13827160493827151</v>
      </c>
      <c r="M12" s="73">
        <f t="shared" si="2"/>
        <v>0.12266555224799718</v>
      </c>
      <c r="N12" s="10"/>
      <c r="O12" s="116" t="s">
        <v>77</v>
      </c>
      <c r="P12" s="20">
        <f t="shared" si="3"/>
        <v>7.1827831337033785E-2</v>
      </c>
      <c r="Q12" s="20">
        <f t="shared" si="4"/>
        <v>2.4533110449599438E-2</v>
      </c>
      <c r="R12" s="128">
        <f t="shared" si="8"/>
        <v>9.6360941786633222E-2</v>
      </c>
    </row>
    <row r="13" spans="1:18" s="2" customFormat="1" x14ac:dyDescent="0.2">
      <c r="A13" s="1">
        <v>9</v>
      </c>
      <c r="B13" s="3" t="s">
        <v>78</v>
      </c>
      <c r="C13" s="7" t="s">
        <v>79</v>
      </c>
      <c r="D13" s="63">
        <v>489</v>
      </c>
      <c r="E13" s="63">
        <v>489</v>
      </c>
      <c r="F13" s="64">
        <v>444</v>
      </c>
      <c r="G13" s="65">
        <v>416</v>
      </c>
      <c r="H13" s="66">
        <f t="shared" si="5"/>
        <v>1349</v>
      </c>
      <c r="I13" s="40">
        <f t="shared" si="0"/>
        <v>0.13136624793066512</v>
      </c>
      <c r="J13" s="69">
        <f t="shared" si="6"/>
        <v>1422</v>
      </c>
      <c r="K13" s="97">
        <f t="shared" si="7"/>
        <v>-5.1336146272855099E-2</v>
      </c>
      <c r="L13" s="71">
        <f t="shared" si="1"/>
        <v>0</v>
      </c>
      <c r="M13" s="73">
        <f t="shared" si="2"/>
        <v>0</v>
      </c>
      <c r="N13" s="10"/>
      <c r="O13" s="116" t="s">
        <v>79</v>
      </c>
      <c r="P13" s="20">
        <f t="shared" si="3"/>
        <v>0.1050929983445321</v>
      </c>
      <c r="Q13" s="20">
        <f t="shared" si="4"/>
        <v>0</v>
      </c>
      <c r="R13" s="128">
        <f t="shared" si="8"/>
        <v>0.1050929983445321</v>
      </c>
    </row>
    <row r="14" spans="1:18" s="2" customFormat="1" x14ac:dyDescent="0.2">
      <c r="A14" s="1">
        <v>10</v>
      </c>
      <c r="B14" s="3" t="s">
        <v>90</v>
      </c>
      <c r="C14" s="7" t="s">
        <v>91</v>
      </c>
      <c r="D14" s="63">
        <v>192</v>
      </c>
      <c r="E14" s="63">
        <v>186</v>
      </c>
      <c r="F14" s="64">
        <v>177</v>
      </c>
      <c r="G14" s="65">
        <v>203</v>
      </c>
      <c r="H14" s="66">
        <f t="shared" si="5"/>
        <v>566</v>
      </c>
      <c r="I14" s="40">
        <f t="shared" si="0"/>
        <v>5.5117343460901747E-2</v>
      </c>
      <c r="J14" s="69">
        <f t="shared" si="6"/>
        <v>555</v>
      </c>
      <c r="K14" s="97">
        <f t="shared" si="7"/>
        <v>1.9819819819819839E-2</v>
      </c>
      <c r="L14" s="71">
        <f t="shared" si="1"/>
        <v>1.9819819819819839E-2</v>
      </c>
      <c r="M14" s="73">
        <f t="shared" si="2"/>
        <v>1.7582851842497693E-2</v>
      </c>
      <c r="N14" s="10"/>
      <c r="O14" s="116" t="s">
        <v>91</v>
      </c>
      <c r="P14" s="20">
        <f t="shared" si="3"/>
        <v>4.4093874768721397E-2</v>
      </c>
      <c r="Q14" s="20">
        <f t="shared" si="4"/>
        <v>3.5165703684995387E-3</v>
      </c>
      <c r="R14" s="128">
        <f t="shared" si="8"/>
        <v>4.7610445137220937E-2</v>
      </c>
    </row>
    <row r="15" spans="1:18" s="2" customFormat="1" x14ac:dyDescent="0.2">
      <c r="A15" s="1">
        <v>11</v>
      </c>
      <c r="B15" s="3" t="s">
        <v>95</v>
      </c>
      <c r="C15" s="7" t="s">
        <v>96</v>
      </c>
      <c r="D15" s="63">
        <v>140</v>
      </c>
      <c r="E15" s="63">
        <v>254</v>
      </c>
      <c r="F15" s="64">
        <v>314</v>
      </c>
      <c r="G15" s="65">
        <v>366</v>
      </c>
      <c r="H15" s="66">
        <f t="shared" si="5"/>
        <v>934</v>
      </c>
      <c r="I15" s="40">
        <f t="shared" si="0"/>
        <v>9.095335475703574E-2</v>
      </c>
      <c r="J15" s="69">
        <f t="shared" si="6"/>
        <v>708</v>
      </c>
      <c r="K15" s="97">
        <f t="shared" si="7"/>
        <v>0.31920903954802249</v>
      </c>
      <c r="L15" s="71">
        <f t="shared" si="1"/>
        <v>0.31920903954802249</v>
      </c>
      <c r="M15" s="73">
        <f t="shared" si="2"/>
        <v>0.28318144666210615</v>
      </c>
      <c r="N15" s="10"/>
      <c r="O15" s="116" t="s">
        <v>96</v>
      </c>
      <c r="P15" s="20">
        <f t="shared" ref="P15" si="9">+I15*$P$3</f>
        <v>7.27626838056286E-2</v>
      </c>
      <c r="Q15" s="20">
        <f t="shared" ref="Q15" si="10">+M15*$Q$3</f>
        <v>5.6636289332421236E-2</v>
      </c>
      <c r="R15" s="128">
        <f t="shared" si="8"/>
        <v>0.12939897313804982</v>
      </c>
    </row>
    <row r="16" spans="1:18" s="2" customFormat="1" ht="12.75" customHeight="1" x14ac:dyDescent="0.2">
      <c r="C16" s="50" t="s">
        <v>14</v>
      </c>
      <c r="D16" s="67">
        <v>2844</v>
      </c>
      <c r="E16" s="67">
        <v>3358</v>
      </c>
      <c r="F16" s="67">
        <v>3412</v>
      </c>
      <c r="G16" s="67">
        <v>3499</v>
      </c>
      <c r="H16" s="67">
        <f t="shared" ref="H16" si="11">SUM(H5:H15)</f>
        <v>10269</v>
      </c>
      <c r="I16" s="68">
        <f>SUM(I5:I15)</f>
        <v>0.99999999999999989</v>
      </c>
      <c r="J16" s="70">
        <f>SUM(J5:J15)</f>
        <v>9614</v>
      </c>
      <c r="K16" s="70">
        <f>SUM(K5:K15)</f>
        <v>0.90054011173408954</v>
      </c>
      <c r="L16" s="72">
        <f>SUM(L5:L15)</f>
        <v>1.1272244114527201</v>
      </c>
      <c r="M16" s="74">
        <f>SUM(M5:M15)</f>
        <v>1</v>
      </c>
      <c r="N16" s="10"/>
      <c r="O16" s="108" t="s">
        <v>14</v>
      </c>
      <c r="P16" s="22">
        <f>SUM(P5:P15)</f>
        <v>0.79999999999999993</v>
      </c>
      <c r="Q16" s="22">
        <f>SUM(Q5:Q15)</f>
        <v>0.2</v>
      </c>
      <c r="R16" s="138">
        <f>SUM(R5:R15)</f>
        <v>1</v>
      </c>
    </row>
    <row r="17" spans="3:17" s="2" customFormat="1" x14ac:dyDescent="0.2">
      <c r="C17" s="23"/>
      <c r="D17" s="43"/>
      <c r="E17" s="23" t="s">
        <v>49</v>
      </c>
      <c r="F17" s="30" t="s">
        <v>49</v>
      </c>
      <c r="G17" s="23" t="s">
        <v>49</v>
      </c>
      <c r="H17" s="23" t="s">
        <v>49</v>
      </c>
      <c r="I17" s="23" t="s">
        <v>49</v>
      </c>
      <c r="J17" s="23"/>
      <c r="K17" s="23"/>
      <c r="L17" s="53"/>
      <c r="M17" s="23"/>
      <c r="P17" s="23" t="s">
        <v>49</v>
      </c>
      <c r="Q17" s="2" t="s">
        <v>50</v>
      </c>
    </row>
    <row r="18" spans="3:17" x14ac:dyDescent="0.2">
      <c r="D18" s="31"/>
      <c r="E18" s="10" t="s">
        <v>37</v>
      </c>
      <c r="F18" s="32" t="s">
        <v>37</v>
      </c>
      <c r="G18" s="10" t="s">
        <v>37</v>
      </c>
      <c r="H18" s="10" t="s">
        <v>37</v>
      </c>
      <c r="I18" s="10" t="s">
        <v>39</v>
      </c>
      <c r="P18" s="10" t="s">
        <v>40</v>
      </c>
      <c r="Q18" s="10" t="s">
        <v>54</v>
      </c>
    </row>
    <row r="19" spans="3:17" ht="15" x14ac:dyDescent="0.25">
      <c r="C19"/>
      <c r="D19" s="33"/>
      <c r="E19"/>
      <c r="F19" s="34"/>
      <c r="G19"/>
      <c r="H19" t="s">
        <v>38</v>
      </c>
      <c r="J19" s="80"/>
    </row>
    <row r="20" spans="3:17" ht="15" x14ac:dyDescent="0.25">
      <c r="C20"/>
      <c r="D20" s="33"/>
      <c r="E20"/>
      <c r="F20" s="34"/>
      <c r="G20"/>
      <c r="H20"/>
    </row>
    <row r="21" spans="3:17" ht="15.75" thickBot="1" x14ac:dyDescent="0.3">
      <c r="C21"/>
      <c r="D21" s="35"/>
      <c r="E21" s="36"/>
      <c r="F21" s="37"/>
      <c r="G21"/>
      <c r="H21"/>
    </row>
    <row r="22" spans="3:17" ht="15" x14ac:dyDescent="0.25">
      <c r="C22"/>
      <c r="D22" t="s">
        <v>41</v>
      </c>
      <c r="E22" t="s">
        <v>41</v>
      </c>
      <c r="F22" t="s">
        <v>41</v>
      </c>
      <c r="G22"/>
      <c r="H22"/>
      <c r="J22" s="10" t="s">
        <v>41</v>
      </c>
      <c r="K22" s="10" t="s">
        <v>43</v>
      </c>
      <c r="L22" s="10" t="s">
        <v>51</v>
      </c>
      <c r="M22" s="10" t="s">
        <v>53</v>
      </c>
    </row>
    <row r="23" spans="3:17" ht="15" x14ac:dyDescent="0.25">
      <c r="C23"/>
      <c r="D23"/>
      <c r="E23"/>
      <c r="F23"/>
      <c r="G23"/>
      <c r="H23"/>
      <c r="J23" s="10" t="s">
        <v>42</v>
      </c>
      <c r="L23" s="10" t="s">
        <v>52</v>
      </c>
    </row>
    <row r="24" spans="3:17" ht="15" x14ac:dyDescent="0.25">
      <c r="C24"/>
      <c r="D24"/>
      <c r="E24"/>
      <c r="F24"/>
      <c r="G24"/>
      <c r="H24"/>
    </row>
  </sheetData>
  <phoneticPr fontId="18" type="noConversion"/>
  <pageMargins left="0.70866141732283472" right="0.70866141732283472" top="0.74803149606299213" bottom="0.74803149606299213" header="0.31496062992125984" footer="0.31496062992125984"/>
  <pageSetup paperSize="14" scale="73" orientation="landscape" verticalDpi="0" r:id="rId1"/>
  <headerFoot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61B8470A32A674BA32B0F0843FD833D" ma:contentTypeVersion="14" ma:contentTypeDescription="Crear nuevo documento." ma:contentTypeScope="" ma:versionID="52e2c345a717e11448dc6c94c1863fe5">
  <xsd:schema xmlns:xsd="http://www.w3.org/2001/XMLSchema" xmlns:xs="http://www.w3.org/2001/XMLSchema" xmlns:p="http://schemas.microsoft.com/office/2006/metadata/properties" xmlns:ns3="9f4f5549-ab14-4416-aabc-6a2559eaf16c" xmlns:ns4="9034eac3-09e6-43ed-a7a7-3f7d0c8b832f" targetNamespace="http://schemas.microsoft.com/office/2006/metadata/properties" ma:root="true" ma:fieldsID="6c9a442cedf2c85f330ab97247a68664" ns3:_="" ns4:_="">
    <xsd:import namespace="9f4f5549-ab14-4416-aabc-6a2559eaf16c"/>
    <xsd:import namespace="9034eac3-09e6-43ed-a7a7-3f7d0c8b832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4f5549-ab14-4416-aabc-6a2559eaf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4eac3-09e6-43ed-a7a7-3f7d0c8b83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f4f5549-ab14-4416-aabc-6a2559eaf16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116D8C-8E16-4BEC-A5E1-333A7525E3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4f5549-ab14-4416-aabc-6a2559eaf16c"/>
    <ds:schemaRef ds:uri="9034eac3-09e6-43ed-a7a7-3f7d0c8b83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EB4D1B-82A5-47F3-82CE-58307F8FB0AD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9034eac3-09e6-43ed-a7a7-3f7d0c8b832f"/>
    <ds:schemaRef ds:uri="http://schemas.microsoft.com/office/2006/metadata/properties"/>
    <ds:schemaRef ds:uri="9f4f5549-ab14-4416-aabc-6a2559eaf16c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ABBE293-00B3-48C5-B5D8-7B4C6B8DB2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FI 2025</vt:lpstr>
      <vt:lpstr>I.Acreditación Institucional</vt:lpstr>
      <vt:lpstr>II.Doctorados Acreditados</vt:lpstr>
      <vt:lpstr>III. Planta Académica</vt:lpstr>
      <vt:lpstr>IV. Publicaciones por acad.</vt:lpstr>
      <vt:lpstr>V.Citas</vt:lpstr>
      <vt:lpstr>VI. Proyectos</vt:lpstr>
      <vt:lpstr>VII. Publicaciones</vt:lpstr>
      <vt:lpstr>'FI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Torres Huerta</dc:creator>
  <cp:lastModifiedBy>Paola Andrea Nuñez Cisternas</cp:lastModifiedBy>
  <cp:lastPrinted>2025-02-05T19:59:30Z</cp:lastPrinted>
  <dcterms:created xsi:type="dcterms:W3CDTF">2018-10-10T19:04:28Z</dcterms:created>
  <dcterms:modified xsi:type="dcterms:W3CDTF">2025-07-31T13:23:53Z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0x010100D61B8470A32A674BA32B0F0843FD833D</vt:lpwstr>
  </property>
</Properties>
</file>