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educa-my.sharepoint.com/personal/rosa_roman_mineduc_cl/Documents/DFI Fondos-Asignaciones/Basal x Desempeño (BD)/BD 2025/"/>
    </mc:Choice>
  </mc:AlternateContent>
  <xr:revisionPtr revIDLastSave="4" documentId="8_{90CDD66E-76F5-497A-906F-5BF09E3D440E}" xr6:coauthVersionLast="47" xr6:coauthVersionMax="47" xr10:uidLastSave="{B34F4ECB-BAC9-44FE-ADFA-6E2255A73E12}"/>
  <bookViews>
    <workbookView xWindow="-28920" yWindow="2625" windowWidth="29040" windowHeight="15720" tabRatio="889" xr2:uid="{00000000-000D-0000-FFFF-FFFF00000000}"/>
  </bookViews>
  <sheets>
    <sheet name="Montos BD 2025" sheetId="4" r:id="rId1"/>
    <sheet name="Montos Anticipo BD 2025" sheetId="14" r:id="rId2"/>
    <sheet name="Categorías" sheetId="1" r:id="rId3"/>
    <sheet name="Valores" sheetId="2" r:id="rId4"/>
    <sheet name="DESEMPEÑO (Indicadores)" sheetId="3" r:id="rId5"/>
    <sheet name="COMPLEJIDAD" sheetId="15" r:id="rId6"/>
    <sheet name="Publicaciones BD" sheetId="5" r:id="rId7"/>
    <sheet name="Acreditación BD" sheetId="6" r:id="rId8"/>
    <sheet name="Doctorado JC BD" sheetId="7" r:id="rId9"/>
    <sheet name="Programas Doct. Acreditados BD" sheetId="8" r:id="rId10"/>
    <sheet name="Académicos JC BD" sheetId="9" r:id="rId11"/>
    <sheet name="Matrícula Regular Pre BD" sheetId="10" r:id="rId12"/>
  </sheets>
  <definedNames>
    <definedName name="_xlnm._FilterDatabase" localSheetId="10" hidden="1">'Académicos JC BD'!$A$3:$C$12</definedName>
    <definedName name="_xlnm._FilterDatabase" localSheetId="2" hidden="1">Categorías!$A$4:$AA$14</definedName>
    <definedName name="_xlnm._FilterDatabase" localSheetId="5" hidden="1">COMPLEJIDAD!$A$1:$J$15</definedName>
    <definedName name="_xlnm._FilterDatabase" localSheetId="4" hidden="1">'DESEMPEÑO (Indicadores)'!$A$1:$AI$3</definedName>
    <definedName name="_xlnm._FilterDatabase" localSheetId="8" hidden="1">'Doctorado JC BD'!$A$3:$C$12</definedName>
    <definedName name="_xlnm._FilterDatabase" localSheetId="1" hidden="1">'Montos Anticipo BD 2025'!$A$6:$C$22</definedName>
    <definedName name="_xlnm._FilterDatabase" localSheetId="0" hidden="1">'Montos BD 2025'!$A$7:$J$23</definedName>
    <definedName name="_xlnm._FilterDatabase" localSheetId="3" hidden="1">Valores!$A$1:$Y$17</definedName>
    <definedName name="_xlnm.Print_Area" localSheetId="5">COMPLEJIDAD!$A$1:$J$16</definedName>
    <definedName name="_xlnm.Print_Area" localSheetId="1">'Montos Anticipo BD 2025'!$A$1:$L$29</definedName>
    <definedName name="_xlnm.Print_Area" localSheetId="0">'Montos BD 2025'!$A$1:$T$30</definedName>
    <definedName name="_xlnm.Print_Titles" localSheetId="5">COMPLEJIDAD!$A:$A</definedName>
    <definedName name="_xlnm.Print_Titles" localSheetId="1">'Montos Anticipo BD 2025'!$A:$A</definedName>
    <definedName name="_xlnm.Print_Titles" localSheetId="0">'Montos BD 2025'!$A:$A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13" i="4" l="1"/>
  <c r="S13" i="4" l="1"/>
  <c r="B32" i="4"/>
  <c r="Y14" i="4" l="1"/>
  <c r="Z14" i="4"/>
  <c r="Y15" i="4"/>
  <c r="Z15" i="4"/>
  <c r="Y16" i="4"/>
  <c r="Z16" i="4"/>
  <c r="Y17" i="4"/>
  <c r="Z17" i="4"/>
  <c r="Y18" i="4"/>
  <c r="Z18" i="4"/>
  <c r="Y19" i="4"/>
  <c r="Z19" i="4"/>
  <c r="Y20" i="4"/>
  <c r="Z20" i="4"/>
  <c r="Y21" i="4"/>
  <c r="Z21" i="4"/>
  <c r="S21" i="4"/>
  <c r="T13" i="4"/>
  <c r="S14" i="4"/>
  <c r="S15" i="4"/>
  <c r="S16" i="4"/>
  <c r="S17" i="4"/>
  <c r="S18" i="4"/>
  <c r="T18" i="4" s="1"/>
  <c r="U18" i="4" s="1"/>
  <c r="S19" i="4"/>
  <c r="T19" i="4" s="1"/>
  <c r="U19" i="4" s="1"/>
  <c r="S20" i="4"/>
  <c r="T20" i="4" s="1"/>
  <c r="U20" i="4" s="1"/>
  <c r="T21" i="4"/>
  <c r="U21" i="4" s="1"/>
  <c r="T17" i="4"/>
  <c r="U17" i="4" s="1"/>
  <c r="T14" i="4"/>
  <c r="U14" i="4" s="1"/>
  <c r="T15" i="4"/>
  <c r="U15" i="4" s="1"/>
  <c r="T16" i="4"/>
  <c r="U16" i="4" s="1"/>
  <c r="U13" i="4" l="1"/>
  <c r="Z13" i="4"/>
  <c r="C30" i="4"/>
  <c r="B30" i="4"/>
  <c r="C32" i="4" l="1"/>
  <c r="B38" i="4"/>
  <c r="P14" i="4"/>
  <c r="Q14" i="4"/>
  <c r="P15" i="4"/>
  <c r="Q15" i="4"/>
  <c r="P16" i="4"/>
  <c r="Q16" i="4"/>
  <c r="P17" i="4"/>
  <c r="Q17" i="4"/>
  <c r="P18" i="4"/>
  <c r="Q18" i="4"/>
  <c r="P19" i="4"/>
  <c r="Q19" i="4"/>
  <c r="P20" i="4"/>
  <c r="Q20" i="4"/>
  <c r="P21" i="4"/>
  <c r="Q21" i="4"/>
  <c r="Q13" i="4"/>
  <c r="P13" i="4"/>
  <c r="G22" i="4"/>
  <c r="B28" i="14" l="1"/>
  <c r="B26" i="14"/>
  <c r="B27" i="14" s="1"/>
  <c r="F20" i="14"/>
  <c r="F19" i="14"/>
  <c r="F18" i="14"/>
  <c r="F17" i="14"/>
  <c r="G17" i="14" s="1"/>
  <c r="F16" i="14"/>
  <c r="F15" i="14"/>
  <c r="G15" i="14" s="1"/>
  <c r="F14" i="14"/>
  <c r="F13" i="14"/>
  <c r="G13" i="14" s="1"/>
  <c r="F12" i="14"/>
  <c r="F21" i="14" s="1"/>
  <c r="G19" i="14" l="1"/>
  <c r="G16" i="14"/>
  <c r="G20" i="14"/>
  <c r="H20" i="14" s="1"/>
  <c r="I20" i="14" s="1"/>
  <c r="B29" i="14"/>
  <c r="C25" i="14"/>
  <c r="H17" i="14"/>
  <c r="I17" i="14" s="1"/>
  <c r="G14" i="14"/>
  <c r="G18" i="14"/>
  <c r="H18" i="14" s="1"/>
  <c r="I18" i="14" s="1"/>
  <c r="G12" i="14"/>
  <c r="C26" i="14"/>
  <c r="J20" i="14" l="1"/>
  <c r="K20" i="14"/>
  <c r="G21" i="14"/>
  <c r="H12" i="14"/>
  <c r="H16" i="14"/>
  <c r="I16" i="14" s="1"/>
  <c r="K17" i="14"/>
  <c r="J17" i="14"/>
  <c r="H19" i="14"/>
  <c r="I19" i="14" s="1"/>
  <c r="J18" i="14"/>
  <c r="K18" i="14" s="1"/>
  <c r="H14" i="14"/>
  <c r="I14" i="14" s="1"/>
  <c r="H13" i="14"/>
  <c r="I13" i="14" s="1"/>
  <c r="H15" i="14"/>
  <c r="I15" i="14" s="1"/>
  <c r="J15" i="14" l="1"/>
  <c r="K15" i="14" s="1"/>
  <c r="J13" i="14"/>
  <c r="K13" i="14" s="1"/>
  <c r="J16" i="14"/>
  <c r="K16" i="14"/>
  <c r="J14" i="14"/>
  <c r="K14" i="14"/>
  <c r="H21" i="14"/>
  <c r="I12" i="14"/>
  <c r="J19" i="14"/>
  <c r="K19" i="14" s="1"/>
  <c r="J12" i="14" l="1"/>
  <c r="J21" i="14" s="1"/>
  <c r="E25" i="14" s="1"/>
  <c r="I21" i="14"/>
  <c r="I22" i="14" s="1"/>
  <c r="F25" i="14" l="1"/>
  <c r="F27" i="14" s="1"/>
  <c r="E27" i="14"/>
  <c r="K12" i="14"/>
  <c r="K21" i="14" s="1"/>
  <c r="E26" i="14" s="1"/>
  <c r="F26" i="14" s="1"/>
  <c r="B29" i="4" l="1"/>
  <c r="C29" i="4"/>
  <c r="D28" i="4"/>
  <c r="D29" i="4" l="1"/>
  <c r="G27" i="4" s="1"/>
  <c r="F13" i="4" l="1"/>
  <c r="O15" i="4" l="1"/>
  <c r="O20" i="4" l="1"/>
  <c r="O16" i="4"/>
  <c r="O19" i="4"/>
  <c r="O21" i="4"/>
  <c r="O18" i="4"/>
  <c r="O17" i="4"/>
  <c r="O14" i="4"/>
  <c r="Y13" i="1"/>
  <c r="Y12" i="1"/>
  <c r="Y6" i="1"/>
  <c r="Y7" i="1"/>
  <c r="Y11" i="1"/>
  <c r="Y9" i="1"/>
  <c r="Y8" i="1"/>
  <c r="Y10" i="1"/>
  <c r="Y5" i="1"/>
  <c r="D27" i="4" l="1"/>
  <c r="P22" i="4" l="1"/>
  <c r="B31" i="4" l="1"/>
  <c r="X5" i="1"/>
  <c r="C4" i="8" s="1"/>
  <c r="F14" i="4" l="1"/>
  <c r="F17" i="4"/>
  <c r="F15" i="4"/>
  <c r="F16" i="4"/>
  <c r="F18" i="4"/>
  <c r="F19" i="4"/>
  <c r="F20" i="4"/>
  <c r="F21" i="4"/>
  <c r="E22" i="4"/>
  <c r="F22" i="4" l="1"/>
  <c r="E27" i="4" l="1"/>
  <c r="F23" i="4" s="1"/>
  <c r="X11" i="1" l="1"/>
  <c r="C8" i="8" s="1"/>
  <c r="X12" i="1"/>
  <c r="C5" i="8" s="1"/>
  <c r="X10" i="1"/>
  <c r="C12" i="8" s="1"/>
  <c r="X7" i="1"/>
  <c r="C7" i="8" s="1"/>
  <c r="X8" i="1"/>
  <c r="C11" i="8" s="1"/>
  <c r="X9" i="1"/>
  <c r="C10" i="8" s="1"/>
  <c r="X6" i="1"/>
  <c r="C6" i="8" s="1"/>
  <c r="X13" i="1"/>
  <c r="C9" i="8" s="1"/>
  <c r="H12" i="6" l="1"/>
  <c r="H11" i="6"/>
  <c r="H10" i="6"/>
  <c r="H9" i="6"/>
  <c r="H8" i="6"/>
  <c r="H7" i="6"/>
  <c r="H6" i="6"/>
  <c r="H5" i="6"/>
  <c r="D12" i="5"/>
  <c r="U77" i="3"/>
  <c r="T77" i="3"/>
  <c r="S77" i="3"/>
  <c r="R77" i="3"/>
  <c r="Q77" i="3"/>
  <c r="U76" i="3"/>
  <c r="T76" i="3"/>
  <c r="S76" i="3"/>
  <c r="R76" i="3"/>
  <c r="Q76" i="3"/>
  <c r="U75" i="3"/>
  <c r="T75" i="3"/>
  <c r="S75" i="3"/>
  <c r="R75" i="3"/>
  <c r="Q75" i="3"/>
  <c r="U74" i="3"/>
  <c r="T74" i="3"/>
  <c r="S74" i="3"/>
  <c r="R74" i="3"/>
  <c r="Q74" i="3"/>
  <c r="U63" i="3"/>
  <c r="T63" i="3"/>
  <c r="S63" i="3"/>
  <c r="R63" i="3"/>
  <c r="Q63" i="3"/>
  <c r="U62" i="3"/>
  <c r="T62" i="3"/>
  <c r="S62" i="3"/>
  <c r="R62" i="3"/>
  <c r="Q62" i="3"/>
  <c r="U61" i="3"/>
  <c r="T61" i="3"/>
  <c r="S61" i="3"/>
  <c r="R61" i="3"/>
  <c r="Q61" i="3"/>
  <c r="U60" i="3"/>
  <c r="T60" i="3"/>
  <c r="S60" i="3"/>
  <c r="R60" i="3"/>
  <c r="Q60" i="3"/>
  <c r="U59" i="3"/>
  <c r="T59" i="3"/>
  <c r="S59" i="3"/>
  <c r="R59" i="3"/>
  <c r="Q59" i="3"/>
  <c r="U58" i="3"/>
  <c r="T58" i="3"/>
  <c r="S58" i="3"/>
  <c r="R58" i="3"/>
  <c r="Q58" i="3"/>
  <c r="U57" i="3"/>
  <c r="T57" i="3"/>
  <c r="S57" i="3"/>
  <c r="R57" i="3"/>
  <c r="Q57" i="3"/>
  <c r="U56" i="3"/>
  <c r="T56" i="3"/>
  <c r="S56" i="3"/>
  <c r="R56" i="3"/>
  <c r="Q56" i="3"/>
  <c r="U55" i="3"/>
  <c r="T55" i="3"/>
  <c r="S55" i="3"/>
  <c r="R55" i="3"/>
  <c r="Q55" i="3"/>
  <c r="U54" i="3"/>
  <c r="T54" i="3"/>
  <c r="S54" i="3"/>
  <c r="R54" i="3"/>
  <c r="Q54" i="3"/>
  <c r="U53" i="3"/>
  <c r="T53" i="3"/>
  <c r="S53" i="3"/>
  <c r="R53" i="3"/>
  <c r="Q53" i="3"/>
  <c r="U52" i="3"/>
  <c r="T52" i="3"/>
  <c r="S52" i="3"/>
  <c r="R52" i="3"/>
  <c r="Q52" i="3"/>
  <c r="U51" i="3"/>
  <c r="T51" i="3"/>
  <c r="S51" i="3"/>
  <c r="R51" i="3"/>
  <c r="Q51" i="3"/>
  <c r="U50" i="3"/>
  <c r="T50" i="3"/>
  <c r="S50" i="3"/>
  <c r="R50" i="3"/>
  <c r="Q50" i="3"/>
  <c r="U49" i="3"/>
  <c r="T49" i="3"/>
  <c r="S49" i="3"/>
  <c r="R49" i="3"/>
  <c r="Q49" i="3"/>
  <c r="U48" i="3"/>
  <c r="T48" i="3"/>
  <c r="S48" i="3"/>
  <c r="R48" i="3"/>
  <c r="Q48" i="3"/>
  <c r="C12" i="2"/>
  <c r="C12" i="3" s="1"/>
  <c r="B12" i="2"/>
  <c r="A12" i="2"/>
  <c r="A12" i="3" s="1"/>
  <c r="C11" i="2"/>
  <c r="C11" i="3" s="1"/>
  <c r="B11" i="2"/>
  <c r="A11" i="2"/>
  <c r="A11" i="3" s="1"/>
  <c r="C10" i="2"/>
  <c r="C10" i="3" s="1"/>
  <c r="B10" i="2"/>
  <c r="A10" i="2"/>
  <c r="A10" i="3" s="1"/>
  <c r="C9" i="2"/>
  <c r="C9" i="3" s="1"/>
  <c r="B9" i="2"/>
  <c r="A9" i="2"/>
  <c r="A9" i="3" s="1"/>
  <c r="C8" i="2"/>
  <c r="C8" i="3" s="1"/>
  <c r="B8" i="2"/>
  <c r="A8" i="2"/>
  <c r="A8" i="3" s="1"/>
  <c r="C7" i="2"/>
  <c r="C7" i="3" s="1"/>
  <c r="B7" i="2"/>
  <c r="A7" i="2"/>
  <c r="A7" i="3" s="1"/>
  <c r="C6" i="2"/>
  <c r="C6" i="3" s="1"/>
  <c r="B6" i="2"/>
  <c r="A6" i="2"/>
  <c r="A6" i="3" s="1"/>
  <c r="C5" i="2"/>
  <c r="C5" i="3" s="1"/>
  <c r="B5" i="2"/>
  <c r="A5" i="2"/>
  <c r="A5" i="3" s="1"/>
  <c r="C4" i="2"/>
  <c r="C4" i="3" s="1"/>
  <c r="B4" i="2"/>
  <c r="A4" i="2"/>
  <c r="A4" i="3" s="1"/>
  <c r="Z13" i="1"/>
  <c r="D17" i="4" s="1"/>
  <c r="Z12" i="1"/>
  <c r="D14" i="4" s="1"/>
  <c r="Z11" i="1"/>
  <c r="D18" i="4" s="1"/>
  <c r="Z10" i="1"/>
  <c r="D20" i="4" s="1"/>
  <c r="Z9" i="1"/>
  <c r="D19" i="4" s="1"/>
  <c r="Z8" i="1"/>
  <c r="D21" i="4" s="1"/>
  <c r="Z7" i="1"/>
  <c r="D16" i="4" s="1"/>
  <c r="Z6" i="1"/>
  <c r="D15" i="4" s="1"/>
  <c r="Z5" i="1"/>
  <c r="D13" i="4" s="1"/>
  <c r="D5" i="5" l="1"/>
  <c r="D9" i="5"/>
  <c r="D6" i="5"/>
  <c r="D10" i="5"/>
  <c r="D7" i="5"/>
  <c r="D11" i="5"/>
  <c r="D4" i="5"/>
  <c r="D8" i="5"/>
  <c r="B9" i="3"/>
  <c r="B11" i="3"/>
  <c r="B5" i="3"/>
  <c r="B12" i="3"/>
  <c r="B7" i="3"/>
  <c r="B16" i="10"/>
  <c r="B16" i="8"/>
  <c r="B16" i="5"/>
  <c r="B16" i="7"/>
  <c r="B16" i="9"/>
  <c r="B16" i="6"/>
  <c r="B4" i="3"/>
  <c r="B8" i="3"/>
  <c r="B6" i="3"/>
  <c r="B10" i="3"/>
  <c r="Y14" i="1"/>
  <c r="X14" i="1"/>
  <c r="H4" i="6"/>
  <c r="D9" i="10"/>
  <c r="D8" i="9"/>
  <c r="D7" i="7"/>
  <c r="L6" i="3" l="1"/>
  <c r="N4" i="3"/>
  <c r="J8" i="3"/>
  <c r="J6" i="3"/>
  <c r="G4" i="3"/>
  <c r="M5" i="3"/>
  <c r="N9" i="3"/>
  <c r="J10" i="3"/>
  <c r="G7" i="3"/>
  <c r="J4" i="3"/>
  <c r="N8" i="3"/>
  <c r="I7" i="3"/>
  <c r="N10" i="3"/>
  <c r="M6" i="3"/>
  <c r="N5" i="3"/>
  <c r="O7" i="3"/>
  <c r="K4" i="3"/>
  <c r="F12" i="3"/>
  <c r="G12" i="3"/>
  <c r="G8" i="3"/>
  <c r="F10" i="3"/>
  <c r="I12" i="3"/>
  <c r="D13" i="5"/>
  <c r="K7" i="3"/>
  <c r="L12" i="3"/>
  <c r="P8" i="3"/>
  <c r="I11" i="3"/>
  <c r="L11" i="3"/>
  <c r="L5" i="3"/>
  <c r="M10" i="3"/>
  <c r="P11" i="3"/>
  <c r="M9" i="3"/>
  <c r="M7" i="3"/>
  <c r="P9" i="3"/>
  <c r="F5" i="3"/>
  <c r="G11" i="3"/>
  <c r="F9" i="3"/>
  <c r="N7" i="3"/>
  <c r="K10" i="3"/>
  <c r="N6" i="3"/>
  <c r="K5" i="3"/>
  <c r="M12" i="3"/>
  <c r="P10" i="3"/>
  <c r="F11" i="3"/>
  <c r="F7" i="3"/>
  <c r="K9" i="3"/>
  <c r="P5" i="3"/>
  <c r="L9" i="3"/>
  <c r="P12" i="3"/>
  <c r="K11" i="3"/>
  <c r="L7" i="3"/>
  <c r="K6" i="3"/>
  <c r="H10" i="3"/>
  <c r="L10" i="3"/>
  <c r="K8" i="3"/>
  <c r="M11" i="3"/>
  <c r="P7" i="3"/>
  <c r="P6" i="3"/>
  <c r="M4" i="3"/>
  <c r="H8" i="3"/>
  <c r="P4" i="3"/>
  <c r="I8" i="3"/>
  <c r="N11" i="3"/>
  <c r="M8" i="3"/>
  <c r="F6" i="3"/>
  <c r="K12" i="3"/>
  <c r="I5" i="3"/>
  <c r="N12" i="3"/>
  <c r="H9" i="3"/>
  <c r="H5" i="3"/>
  <c r="D11" i="10"/>
  <c r="E11" i="10" s="1"/>
  <c r="I6" i="15" s="1"/>
  <c r="J11" i="3"/>
  <c r="J5" i="3"/>
  <c r="J7" i="3"/>
  <c r="D4" i="9"/>
  <c r="E4" i="9" s="1"/>
  <c r="H5" i="15" s="1"/>
  <c r="G9" i="3"/>
  <c r="H11" i="3"/>
  <c r="E9" i="10"/>
  <c r="I12" i="15" s="1"/>
  <c r="E8" i="9"/>
  <c r="H10" i="15" s="1"/>
  <c r="E7" i="7"/>
  <c r="F8" i="15" s="1"/>
  <c r="D7" i="10"/>
  <c r="E7" i="10" s="1"/>
  <c r="I13" i="15" s="1"/>
  <c r="D8" i="10"/>
  <c r="E8" i="10" s="1"/>
  <c r="I11" i="15" s="1"/>
  <c r="H7" i="3"/>
  <c r="H6" i="3"/>
  <c r="H4" i="3"/>
  <c r="J12" i="3"/>
  <c r="G6" i="3"/>
  <c r="D5" i="9"/>
  <c r="E5" i="9" s="1"/>
  <c r="H6" i="15" s="1"/>
  <c r="D12" i="10"/>
  <c r="E12" i="10" s="1"/>
  <c r="I9" i="15" s="1"/>
  <c r="D12" i="9"/>
  <c r="E12" i="9" s="1"/>
  <c r="H12" i="15" s="1"/>
  <c r="G5" i="3"/>
  <c r="G10" i="3"/>
  <c r="F4" i="3"/>
  <c r="I10" i="3"/>
  <c r="E12" i="5"/>
  <c r="D12" i="15" s="1"/>
  <c r="E10" i="5"/>
  <c r="D11" i="15" s="1"/>
  <c r="E8" i="5"/>
  <c r="D10" i="15" s="1"/>
  <c r="E6" i="5"/>
  <c r="D7" i="15" s="1"/>
  <c r="E4" i="5"/>
  <c r="D5" i="15" s="1"/>
  <c r="E11" i="5"/>
  <c r="D13" i="15" s="1"/>
  <c r="E9" i="5"/>
  <c r="D9" i="15" s="1"/>
  <c r="E7" i="5"/>
  <c r="D8" i="15" s="1"/>
  <c r="E5" i="5"/>
  <c r="D6" i="15" s="1"/>
  <c r="H12" i="3"/>
  <c r="D8" i="7"/>
  <c r="E8" i="7" s="1"/>
  <c r="F10" i="15" s="1"/>
  <c r="D4" i="7"/>
  <c r="E4" i="7" s="1"/>
  <c r="F5" i="15" s="1"/>
  <c r="D4" i="10"/>
  <c r="E4" i="10" s="1"/>
  <c r="I5" i="15" s="1"/>
  <c r="I4" i="3"/>
  <c r="I9" i="3"/>
  <c r="J9" i="3"/>
  <c r="D9" i="9"/>
  <c r="E9" i="9" s="1"/>
  <c r="H9" i="15" s="1"/>
  <c r="I6" i="3"/>
  <c r="D5" i="10"/>
  <c r="E5" i="10" s="1"/>
  <c r="I7" i="15" s="1"/>
  <c r="F8" i="3"/>
  <c r="L4" i="3"/>
  <c r="L8" i="3"/>
  <c r="D10" i="7"/>
  <c r="E10" i="7" s="1"/>
  <c r="F11" i="15" s="1"/>
  <c r="D6" i="7"/>
  <c r="E6" i="7" s="1"/>
  <c r="F7" i="15" s="1"/>
  <c r="D5" i="7"/>
  <c r="E5" i="7" s="1"/>
  <c r="F6" i="15" s="1"/>
  <c r="D9" i="7"/>
  <c r="E9" i="7" s="1"/>
  <c r="F9" i="15" s="1"/>
  <c r="D12" i="7"/>
  <c r="E12" i="7" s="1"/>
  <c r="F12" i="15" s="1"/>
  <c r="D10" i="10"/>
  <c r="E10" i="10" s="1"/>
  <c r="I10" i="15" s="1"/>
  <c r="D6" i="10"/>
  <c r="E6" i="10" s="1"/>
  <c r="I8" i="15" s="1"/>
  <c r="D11" i="7"/>
  <c r="E11" i="7" s="1"/>
  <c r="F13" i="15" s="1"/>
  <c r="D11" i="9"/>
  <c r="E11" i="9" s="1"/>
  <c r="H13" i="15" s="1"/>
  <c r="D7" i="9"/>
  <c r="E7" i="9" s="1"/>
  <c r="H8" i="15" s="1"/>
  <c r="D6" i="9"/>
  <c r="E6" i="9" s="1"/>
  <c r="H7" i="15" s="1"/>
  <c r="D10" i="9"/>
  <c r="E10" i="9" s="1"/>
  <c r="H11" i="15" s="1"/>
  <c r="H13" i="6"/>
  <c r="F14" i="15" l="1"/>
  <c r="D14" i="15"/>
  <c r="H14" i="15"/>
  <c r="I14" i="15"/>
  <c r="G13" i="3"/>
  <c r="L13" i="3"/>
  <c r="I13" i="3"/>
  <c r="N13" i="3"/>
  <c r="M13" i="3"/>
  <c r="H13" i="3"/>
  <c r="P13" i="3"/>
  <c r="K13" i="3"/>
  <c r="J13" i="3"/>
  <c r="F13" i="3"/>
  <c r="D6" i="2"/>
  <c r="D6" i="3" s="1"/>
  <c r="AA8" i="1"/>
  <c r="AA11" i="1"/>
  <c r="E13" i="5"/>
  <c r="AA9" i="1"/>
  <c r="D8" i="2"/>
  <c r="D8" i="3" s="1"/>
  <c r="D13" i="10"/>
  <c r="E13" i="9"/>
  <c r="E13" i="10"/>
  <c r="D13" i="7"/>
  <c r="AA12" i="1"/>
  <c r="D11" i="2"/>
  <c r="D11" i="3" s="1"/>
  <c r="D13" i="9"/>
  <c r="E13" i="7"/>
  <c r="AA7" i="1" l="1"/>
  <c r="D10" i="2"/>
  <c r="D10" i="3" s="1"/>
  <c r="D7" i="2"/>
  <c r="D7" i="3" s="1"/>
  <c r="D9" i="2"/>
  <c r="D9" i="3" s="1"/>
  <c r="AA10" i="1"/>
  <c r="E11" i="3"/>
  <c r="D5" i="2"/>
  <c r="D5" i="3" s="1"/>
  <c r="AA6" i="1"/>
  <c r="AA13" i="1"/>
  <c r="D12" i="2"/>
  <c r="D12" i="3" s="1"/>
  <c r="AA5" i="1"/>
  <c r="D4" i="2"/>
  <c r="D4" i="3" s="1"/>
  <c r="E8" i="3"/>
  <c r="C13" i="8"/>
  <c r="D5" i="8" s="1"/>
  <c r="E5" i="8" s="1"/>
  <c r="G6" i="15" s="1"/>
  <c r="E6" i="3"/>
  <c r="B18" i="1" l="1"/>
  <c r="E10" i="3"/>
  <c r="E7" i="3"/>
  <c r="D12" i="8"/>
  <c r="E12" i="8" s="1"/>
  <c r="G12" i="15" s="1"/>
  <c r="D9" i="8"/>
  <c r="E9" i="8" s="1"/>
  <c r="G9" i="15" s="1"/>
  <c r="D4" i="8"/>
  <c r="E4" i="8" s="1"/>
  <c r="G5" i="15" s="1"/>
  <c r="E4" i="3"/>
  <c r="D8" i="8"/>
  <c r="E8" i="8" s="1"/>
  <c r="G10" i="15" s="1"/>
  <c r="D6" i="8"/>
  <c r="E6" i="8" s="1"/>
  <c r="G7" i="15" s="1"/>
  <c r="D10" i="8"/>
  <c r="E10" i="8" s="1"/>
  <c r="G11" i="15" s="1"/>
  <c r="D11" i="8"/>
  <c r="E11" i="8" s="1"/>
  <c r="G13" i="15" s="1"/>
  <c r="D7" i="8"/>
  <c r="E7" i="8" s="1"/>
  <c r="G8" i="15" s="1"/>
  <c r="B20" i="1"/>
  <c r="B19" i="1"/>
  <c r="E5" i="3"/>
  <c r="E12" i="3"/>
  <c r="E9" i="3"/>
  <c r="G14" i="15" l="1"/>
  <c r="C18" i="1"/>
  <c r="AA10" i="3" a="1"/>
  <c r="AA10" i="3" s="1"/>
  <c r="AA7" i="3" a="1"/>
  <c r="AA7" i="3" s="1"/>
  <c r="AA11" i="3" a="1"/>
  <c r="AA11" i="3" s="1"/>
  <c r="Y6" i="3" a="1"/>
  <c r="Y6" i="3" s="1"/>
  <c r="AA8" i="3" a="1"/>
  <c r="AA8" i="3" s="1"/>
  <c r="D13" i="8"/>
  <c r="X11" i="3" a="1"/>
  <c r="X11" i="3" s="1"/>
  <c r="X6" i="3" a="1"/>
  <c r="X6" i="3" s="1"/>
  <c r="W7" i="3" a="1"/>
  <c r="W7" i="3" s="1"/>
  <c r="V7" i="3" a="1"/>
  <c r="V7" i="3" s="1"/>
  <c r="U8" i="3" a="1"/>
  <c r="U8" i="3" s="1"/>
  <c r="U68" i="3" s="1"/>
  <c r="X8" i="3" a="1"/>
  <c r="X8" i="3" s="1"/>
  <c r="T6" i="3" a="1"/>
  <c r="T6" i="3" s="1"/>
  <c r="T66" i="3" s="1"/>
  <c r="V5" i="3" a="1"/>
  <c r="V5" i="3" s="1"/>
  <c r="T5" i="3" a="1"/>
  <c r="T5" i="3" s="1"/>
  <c r="T65" i="3" s="1"/>
  <c r="W5" i="3" a="1"/>
  <c r="W5" i="3" s="1"/>
  <c r="AA5" i="3" a="1"/>
  <c r="AA5" i="3" s="1"/>
  <c r="Y5" i="3" a="1"/>
  <c r="Y5" i="3" s="1"/>
  <c r="X5" i="3" a="1"/>
  <c r="X5" i="3" s="1"/>
  <c r="S5" i="3" a="1"/>
  <c r="S5" i="3" s="1"/>
  <c r="S65" i="3" s="1"/>
  <c r="Q5" i="3" a="1"/>
  <c r="Q5" i="3" s="1"/>
  <c r="Q65" i="3" s="1"/>
  <c r="R5" i="3" a="1"/>
  <c r="R5" i="3" s="1"/>
  <c r="R65" i="3" s="1"/>
  <c r="U5" i="3" a="1"/>
  <c r="U5" i="3" s="1"/>
  <c r="U65" i="3" s="1"/>
  <c r="U10" i="3" a="1"/>
  <c r="U10" i="3" s="1"/>
  <c r="U70" i="3" s="1"/>
  <c r="X10" i="3" a="1"/>
  <c r="X10" i="3" s="1"/>
  <c r="U7" i="3" a="1"/>
  <c r="U7" i="3" s="1"/>
  <c r="U67" i="3" s="1"/>
  <c r="X7" i="3" a="1"/>
  <c r="X7" i="3" s="1"/>
  <c r="U11" i="3" a="1"/>
  <c r="U11" i="3" s="1"/>
  <c r="U71" i="3" s="1"/>
  <c r="S11" i="3" a="1"/>
  <c r="S11" i="3" s="1"/>
  <c r="S71" i="3" s="1"/>
  <c r="V11" i="3" a="1"/>
  <c r="V11" i="3" s="1"/>
  <c r="S8" i="3" a="1"/>
  <c r="S8" i="3" s="1"/>
  <c r="S68" i="3" s="1"/>
  <c r="W8" i="3" a="1"/>
  <c r="W8" i="3" s="1"/>
  <c r="AA6" i="3" a="1"/>
  <c r="AA6" i="3" s="1"/>
  <c r="R6" i="3" a="1"/>
  <c r="R6" i="3" s="1"/>
  <c r="R66" i="3" s="1"/>
  <c r="S10" i="3" a="1"/>
  <c r="S10" i="3" s="1"/>
  <c r="S70" i="3" s="1"/>
  <c r="T10" i="3" a="1"/>
  <c r="T10" i="3" s="1"/>
  <c r="T70" i="3" s="1"/>
  <c r="T9" i="3" a="1"/>
  <c r="T9" i="3" s="1"/>
  <c r="T69" i="3" s="1"/>
  <c r="W9" i="3" a="1"/>
  <c r="W9" i="3" s="1"/>
  <c r="AA9" i="3" a="1"/>
  <c r="AA9" i="3" s="1"/>
  <c r="Y9" i="3" a="1"/>
  <c r="Y9" i="3" s="1"/>
  <c r="Q9" i="3" a="1"/>
  <c r="Q9" i="3" s="1"/>
  <c r="Q69" i="3" s="1"/>
  <c r="U9" i="3" a="1"/>
  <c r="U9" i="3" s="1"/>
  <c r="U69" i="3" s="1"/>
  <c r="X9" i="3" a="1"/>
  <c r="X9" i="3" s="1"/>
  <c r="V9" i="3" a="1"/>
  <c r="V9" i="3" s="1"/>
  <c r="S9" i="3" a="1"/>
  <c r="S9" i="3" s="1"/>
  <c r="S69" i="3" s="1"/>
  <c r="R9" i="3" a="1"/>
  <c r="R9" i="3" s="1"/>
  <c r="R69" i="3" s="1"/>
  <c r="S7" i="3" a="1"/>
  <c r="S7" i="3" s="1"/>
  <c r="S67" i="3" s="1"/>
  <c r="R7" i="3" a="1"/>
  <c r="R7" i="3" s="1"/>
  <c r="R67" i="3" s="1"/>
  <c r="Q12" i="3" a="1"/>
  <c r="Q12" i="3" s="1"/>
  <c r="Q72" i="3" s="1"/>
  <c r="R12" i="3" a="1"/>
  <c r="R12" i="3" s="1"/>
  <c r="R72" i="3" s="1"/>
  <c r="Y12" i="3" a="1"/>
  <c r="Y12" i="3" s="1"/>
  <c r="W12" i="3" a="1"/>
  <c r="W12" i="3" s="1"/>
  <c r="V12" i="3" a="1"/>
  <c r="V12" i="3" s="1"/>
  <c r="S12" i="3" a="1"/>
  <c r="S12" i="3" s="1"/>
  <c r="S72" i="3" s="1"/>
  <c r="X12" i="3" a="1"/>
  <c r="X12" i="3" s="1"/>
  <c r="T12" i="3" a="1"/>
  <c r="T12" i="3" s="1"/>
  <c r="T72" i="3" s="1"/>
  <c r="AA12" i="3" a="1"/>
  <c r="AA12" i="3" s="1"/>
  <c r="U12" i="3" a="1"/>
  <c r="U12" i="3" s="1"/>
  <c r="U72" i="3" s="1"/>
  <c r="R11" i="3" a="1"/>
  <c r="R11" i="3" s="1"/>
  <c r="R71" i="3" s="1"/>
  <c r="T11" i="3" a="1"/>
  <c r="T11" i="3" s="1"/>
  <c r="T71" i="3" s="1"/>
  <c r="Q11" i="3" a="1"/>
  <c r="Q11" i="3" s="1"/>
  <c r="R8" i="3" a="1"/>
  <c r="R8" i="3" s="1"/>
  <c r="R68" i="3" s="1"/>
  <c r="Q8" i="3" a="1"/>
  <c r="Q8" i="3" s="1"/>
  <c r="Q68" i="3" s="1"/>
  <c r="Q6" i="3" a="1"/>
  <c r="Q6" i="3" s="1"/>
  <c r="Q66" i="3" s="1"/>
  <c r="U6" i="3" a="1"/>
  <c r="U6" i="3" s="1"/>
  <c r="U66" i="3" s="1"/>
  <c r="W6" i="3" a="1"/>
  <c r="W6" i="3" s="1"/>
  <c r="R10" i="3" a="1"/>
  <c r="R10" i="3" s="1"/>
  <c r="R70" i="3" s="1"/>
  <c r="V10" i="3" a="1"/>
  <c r="V10" i="3" s="1"/>
  <c r="Y10" i="3" a="1"/>
  <c r="Y10" i="3" s="1"/>
  <c r="C20" i="1"/>
  <c r="C19" i="1"/>
  <c r="B21" i="1"/>
  <c r="Y4" i="3" a="1"/>
  <c r="Y4" i="3" s="1"/>
  <c r="U4" i="3" a="1"/>
  <c r="U4" i="3" s="1"/>
  <c r="S4" i="3" a="1"/>
  <c r="S4" i="3" s="1"/>
  <c r="Q4" i="3" a="1"/>
  <c r="Q4" i="3" s="1"/>
  <c r="W4" i="3" a="1"/>
  <c r="W4" i="3" s="1"/>
  <c r="X4" i="3" a="1"/>
  <c r="X4" i="3" s="1"/>
  <c r="AA4" i="3" a="1"/>
  <c r="AA4" i="3" s="1"/>
  <c r="T4" i="3" a="1"/>
  <c r="T4" i="3" s="1"/>
  <c r="R4" i="3" a="1"/>
  <c r="R4" i="3" s="1"/>
  <c r="V4" i="3" a="1"/>
  <c r="V4" i="3" s="1"/>
  <c r="W10" i="3" a="1"/>
  <c r="W10" i="3" s="1"/>
  <c r="T7" i="3" a="1"/>
  <c r="T7" i="3" s="1"/>
  <c r="T67" i="3" s="1"/>
  <c r="Y7" i="3" a="1"/>
  <c r="Y7" i="3" s="1"/>
  <c r="Q7" i="3" a="1"/>
  <c r="Q7" i="3" s="1"/>
  <c r="Q67" i="3" s="1"/>
  <c r="E13" i="8"/>
  <c r="Y11" i="3" a="1"/>
  <c r="Y11" i="3" s="1"/>
  <c r="W11" i="3" a="1"/>
  <c r="W11" i="3" s="1"/>
  <c r="T8" i="3" a="1"/>
  <c r="T8" i="3" s="1"/>
  <c r="T68" i="3" s="1"/>
  <c r="V8" i="3" a="1"/>
  <c r="V8" i="3" s="1"/>
  <c r="Y8" i="3" a="1"/>
  <c r="Y8" i="3" s="1"/>
  <c r="V6" i="3" a="1"/>
  <c r="V6" i="3" s="1"/>
  <c r="S6" i="3" a="1"/>
  <c r="S6" i="3" s="1"/>
  <c r="S66" i="3" s="1"/>
  <c r="Q10" i="3" a="1"/>
  <c r="Q10" i="3" s="1"/>
  <c r="AA13" i="3" l="1"/>
  <c r="R64" i="3"/>
  <c r="R13" i="3"/>
  <c r="R73" i="3" s="1"/>
  <c r="W13" i="3"/>
  <c r="Y13" i="3"/>
  <c r="T64" i="3"/>
  <c r="T13" i="3"/>
  <c r="T73" i="3" s="1"/>
  <c r="Q64" i="3"/>
  <c r="Q13" i="3"/>
  <c r="Q73" i="3" s="1"/>
  <c r="S64" i="3"/>
  <c r="S13" i="3"/>
  <c r="S73" i="3" s="1"/>
  <c r="V13" i="3"/>
  <c r="X13" i="3"/>
  <c r="U64" i="3"/>
  <c r="U13" i="3"/>
  <c r="U73" i="3" s="1"/>
  <c r="Q70" i="3"/>
  <c r="Q71" i="3"/>
  <c r="O5" i="3" l="1"/>
  <c r="O6" i="3"/>
  <c r="O8" i="3"/>
  <c r="O9" i="3"/>
  <c r="O10" i="3"/>
  <c r="O11" i="3"/>
  <c r="O12" i="3"/>
  <c r="O4" i="3" l="1"/>
  <c r="O13" i="3" l="1"/>
  <c r="Z4" i="3" s="1" a="1"/>
  <c r="Z4" i="3" s="1"/>
  <c r="AB4" i="3" l="1"/>
  <c r="Z8" i="3" a="1"/>
  <c r="Z8" i="3" s="1"/>
  <c r="AB8" i="3" s="1"/>
  <c r="Z7" i="3" a="1"/>
  <c r="Z7" i="3" s="1"/>
  <c r="AB7" i="3" s="1"/>
  <c r="Z6" i="3" a="1"/>
  <c r="Z6" i="3" s="1"/>
  <c r="AB6" i="3" s="1"/>
  <c r="Z9" i="3" a="1"/>
  <c r="Z9" i="3" s="1"/>
  <c r="AB9" i="3" s="1"/>
  <c r="Z12" i="3" a="1"/>
  <c r="Z12" i="3" s="1"/>
  <c r="AB12" i="3" s="1"/>
  <c r="Z11" i="3" a="1"/>
  <c r="Z11" i="3" s="1"/>
  <c r="AB11" i="3" s="1"/>
  <c r="Z10" i="3" a="1"/>
  <c r="Z10" i="3" s="1"/>
  <c r="AB10" i="3" s="1"/>
  <c r="Z5" i="3" a="1"/>
  <c r="Z5" i="3" s="1"/>
  <c r="AB5" i="3" s="1"/>
  <c r="Z13" i="3" l="1"/>
  <c r="AC4" i="3" a="1"/>
  <c r="AC4" i="3" s="1"/>
  <c r="AD4" i="3" s="1"/>
  <c r="AC5" i="3" a="1"/>
  <c r="AC5" i="3" s="1"/>
  <c r="AD5" i="3" s="1"/>
  <c r="AC12" i="3" a="1"/>
  <c r="AC12" i="3" s="1"/>
  <c r="AD12" i="3" s="1"/>
  <c r="AC9" i="3" a="1"/>
  <c r="AC9" i="3" s="1"/>
  <c r="AD9" i="3" s="1"/>
  <c r="AC8" i="3" a="1"/>
  <c r="AC8" i="3" s="1"/>
  <c r="AD8" i="3" s="1"/>
  <c r="AC11" i="3" a="1"/>
  <c r="AC11" i="3" s="1"/>
  <c r="AD11" i="3" s="1"/>
  <c r="AC7" i="3" a="1"/>
  <c r="AC7" i="3" s="1"/>
  <c r="AD7" i="3" s="1"/>
  <c r="AC10" i="3" a="1"/>
  <c r="AC10" i="3" s="1"/>
  <c r="AD10" i="3" s="1"/>
  <c r="AC6" i="3" a="1"/>
  <c r="AC6" i="3" s="1"/>
  <c r="AD6" i="3" s="1"/>
  <c r="F6" i="6" l="1"/>
  <c r="F7" i="6"/>
  <c r="F11" i="6"/>
  <c r="F10" i="6"/>
  <c r="F12" i="6"/>
  <c r="F8" i="6"/>
  <c r="F5" i="6"/>
  <c r="F9" i="6"/>
  <c r="F4" i="6" l="1"/>
  <c r="G6" i="6"/>
  <c r="I6" i="6" s="1"/>
  <c r="G7" i="6"/>
  <c r="I7" i="6" s="1"/>
  <c r="G11" i="6"/>
  <c r="I11" i="6" s="1"/>
  <c r="G10" i="6"/>
  <c r="I10" i="6" s="1"/>
  <c r="G12" i="6"/>
  <c r="I12" i="6" s="1"/>
  <c r="G8" i="6"/>
  <c r="I8" i="6" s="1"/>
  <c r="G5" i="6"/>
  <c r="I5" i="6" s="1"/>
  <c r="G9" i="6"/>
  <c r="I9" i="6" s="1"/>
  <c r="F13" i="6" l="1"/>
  <c r="G4" i="6"/>
  <c r="G13" i="6" s="1"/>
  <c r="I4" i="6" l="1"/>
  <c r="I13" i="6" s="1"/>
  <c r="J4" i="6" l="1"/>
  <c r="J10" i="6"/>
  <c r="K10" i="6" s="1"/>
  <c r="E11" i="15" s="1"/>
  <c r="J11" i="15" s="1"/>
  <c r="H19" i="4" s="1"/>
  <c r="I19" i="4" s="1"/>
  <c r="J11" i="6"/>
  <c r="K11" i="6" s="1"/>
  <c r="E13" i="15" s="1"/>
  <c r="J13" i="15" s="1"/>
  <c r="H21" i="4" s="1"/>
  <c r="I21" i="4" s="1"/>
  <c r="J5" i="6"/>
  <c r="K5" i="6" s="1"/>
  <c r="E6" i="15" s="1"/>
  <c r="J6" i="15" s="1"/>
  <c r="H14" i="4" s="1"/>
  <c r="I14" i="4" s="1"/>
  <c r="J8" i="6"/>
  <c r="K8" i="6" s="1"/>
  <c r="E10" i="15" s="1"/>
  <c r="J10" i="15" s="1"/>
  <c r="H18" i="4" s="1"/>
  <c r="I18" i="4" s="1"/>
  <c r="J12" i="6"/>
  <c r="K12" i="6" s="1"/>
  <c r="E12" i="15" s="1"/>
  <c r="J12" i="15" s="1"/>
  <c r="H20" i="4" s="1"/>
  <c r="I20" i="4" s="1"/>
  <c r="J7" i="6"/>
  <c r="K7" i="6" s="1"/>
  <c r="E8" i="15" s="1"/>
  <c r="J8" i="15" s="1"/>
  <c r="H16" i="4" s="1"/>
  <c r="I16" i="4" s="1"/>
  <c r="J9" i="6"/>
  <c r="K9" i="6" s="1"/>
  <c r="E9" i="15" s="1"/>
  <c r="J9" i="15" s="1"/>
  <c r="H17" i="4" s="1"/>
  <c r="I17" i="4" s="1"/>
  <c r="J6" i="6"/>
  <c r="K6" i="6" s="1"/>
  <c r="E7" i="15" s="1"/>
  <c r="J7" i="15" s="1"/>
  <c r="H15" i="4" s="1"/>
  <c r="I15" i="4" s="1"/>
  <c r="K4" i="6" l="1"/>
  <c r="E5" i="15" s="1"/>
  <c r="J13" i="6"/>
  <c r="E14" i="15" l="1"/>
  <c r="J5" i="15"/>
  <c r="K13" i="6"/>
  <c r="J14" i="15" l="1"/>
  <c r="H13" i="4"/>
  <c r="I13" i="4" s="1"/>
  <c r="I22" i="4" l="1"/>
  <c r="H22" i="4"/>
  <c r="H27" i="4" l="1"/>
  <c r="I23" i="4" s="1"/>
  <c r="H23" i="4"/>
  <c r="I27" i="4" l="1"/>
  <c r="B24" i="1" s="1"/>
  <c r="B28" i="1" l="1"/>
  <c r="C28" i="1" s="1"/>
  <c r="B27" i="1"/>
  <c r="C27" i="1" s="1"/>
  <c r="B26" i="1"/>
  <c r="B29" i="1" l="1"/>
  <c r="C26" i="1"/>
  <c r="AE12" i="3"/>
  <c r="AF12" i="3" s="1"/>
  <c r="AG12" i="3" s="1"/>
  <c r="AH12" i="3" s="1"/>
  <c r="J17" i="4" s="1"/>
  <c r="AE9" i="3"/>
  <c r="AF9" i="3" s="1"/>
  <c r="AG9" i="3" s="1"/>
  <c r="AH9" i="3" s="1"/>
  <c r="J20" i="4" s="1"/>
  <c r="AE8" i="3"/>
  <c r="AF8" i="3" s="1"/>
  <c r="AG8" i="3" s="1"/>
  <c r="AH8" i="3" s="1"/>
  <c r="J19" i="4" s="1"/>
  <c r="AE7" i="3"/>
  <c r="AF7" i="3" s="1"/>
  <c r="AG7" i="3" s="1"/>
  <c r="AH7" i="3" s="1"/>
  <c r="J21" i="4" s="1"/>
  <c r="K17" i="4" l="1"/>
  <c r="L17" i="4" s="1"/>
  <c r="K20" i="4"/>
  <c r="L20" i="4" s="1"/>
  <c r="R20" i="4" s="1"/>
  <c r="K21" i="4"/>
  <c r="L21" i="4" s="1"/>
  <c r="R21" i="4" s="1"/>
  <c r="K19" i="4"/>
  <c r="L19" i="4" s="1"/>
  <c r="R19" i="4" s="1"/>
  <c r="R17" i="4"/>
  <c r="AE10" i="3"/>
  <c r="AF10" i="3" s="1"/>
  <c r="AG10" i="3" s="1"/>
  <c r="AH10" i="3" s="1"/>
  <c r="J18" i="4" s="1"/>
  <c r="AE5" i="3"/>
  <c r="AF5" i="3" s="1"/>
  <c r="AG5" i="3" s="1"/>
  <c r="AH5" i="3" s="1"/>
  <c r="J15" i="4" s="1"/>
  <c r="C29" i="1"/>
  <c r="AE11" i="3"/>
  <c r="AF11" i="3" s="1"/>
  <c r="AG11" i="3" s="1"/>
  <c r="AH11" i="3" s="1"/>
  <c r="J14" i="4" s="1"/>
  <c r="AE4" i="3"/>
  <c r="AF4" i="3" s="1"/>
  <c r="AE6" i="3"/>
  <c r="AF6" i="3" s="1"/>
  <c r="AG6" i="3" s="1"/>
  <c r="AH6" i="3" s="1"/>
  <c r="J16" i="4" s="1"/>
  <c r="K14" i="4" l="1"/>
  <c r="L14" i="4" s="1"/>
  <c r="K16" i="4"/>
  <c r="L16" i="4" s="1"/>
  <c r="R16" i="4" s="1"/>
  <c r="K15" i="4"/>
  <c r="L15" i="4" s="1"/>
  <c r="R15" i="4" s="1"/>
  <c r="K18" i="4"/>
  <c r="L18" i="4" s="1"/>
  <c r="R18" i="4" s="1"/>
  <c r="R14" i="4"/>
  <c r="AG4" i="3"/>
  <c r="AF13" i="3"/>
  <c r="AG13" i="3" l="1"/>
  <c r="AH4" i="3"/>
  <c r="J13" i="4" s="1"/>
  <c r="K13" i="4" l="1"/>
  <c r="L13" i="4" s="1"/>
  <c r="J22" i="4"/>
  <c r="J23" i="4" s="1"/>
  <c r="AI9" i="3" a="1"/>
  <c r="AI9" i="3" s="1"/>
  <c r="AI8" i="3" a="1"/>
  <c r="AI8" i="3" s="1"/>
  <c r="AI11" i="3" a="1"/>
  <c r="AI11" i="3" s="1"/>
  <c r="AI4" i="3" a="1"/>
  <c r="AI4" i="3" s="1"/>
  <c r="AH13" i="3"/>
  <c r="AI10" i="3" a="1"/>
  <c r="AI10" i="3" s="1"/>
  <c r="AI7" i="3" a="1"/>
  <c r="AI7" i="3" s="1"/>
  <c r="AI6" i="3" a="1"/>
  <c r="AI6" i="3" s="1"/>
  <c r="AI12" i="3" a="1"/>
  <c r="AI12" i="3" s="1"/>
  <c r="AI5" i="3" a="1"/>
  <c r="AI5" i="3" s="1"/>
  <c r="AI13" i="3" l="1"/>
  <c r="K22" i="4"/>
  <c r="L22" i="4" l="1"/>
  <c r="M13" i="4" l="1"/>
  <c r="L23" i="4"/>
  <c r="M21" i="4"/>
  <c r="M16" i="4"/>
  <c r="M17" i="4"/>
  <c r="M15" i="4"/>
  <c r="M19" i="4"/>
  <c r="M20" i="4"/>
  <c r="M18" i="4"/>
  <c r="M14" i="4"/>
  <c r="M22" i="4" l="1"/>
  <c r="S22" i="4"/>
  <c r="Y22" i="4" s="1"/>
  <c r="T22" i="4"/>
  <c r="Z22" i="4" s="1"/>
  <c r="B33" i="4" l="1"/>
  <c r="B34" i="4" s="1"/>
  <c r="C33" i="4"/>
  <c r="D33" i="4" s="1"/>
  <c r="U22" i="4"/>
  <c r="Q22" i="4"/>
  <c r="O13" i="4"/>
  <c r="O22" i="4" s="1"/>
  <c r="C31" i="4" l="1"/>
  <c r="C34" i="4" s="1"/>
  <c r="D30" i="4"/>
  <c r="D31" i="4" s="1"/>
  <c r="R13" i="4"/>
  <c r="R22" i="4" s="1"/>
  <c r="D34" i="4" l="1"/>
</calcChain>
</file>

<file path=xl/sharedStrings.xml><?xml version="1.0" encoding="utf-8"?>
<sst xmlns="http://schemas.openxmlformats.org/spreadsheetml/2006/main" count="560" uniqueCount="229">
  <si>
    <t>Cod</t>
  </si>
  <si>
    <t>PUC</t>
  </si>
  <si>
    <t>UCO</t>
  </si>
  <si>
    <t>UCV</t>
  </si>
  <si>
    <t>AUS</t>
  </si>
  <si>
    <t>FSM</t>
  </si>
  <si>
    <t>UCN</t>
  </si>
  <si>
    <t>UCT</t>
  </si>
  <si>
    <t>Institución</t>
  </si>
  <si>
    <t>PONTIFICIA UNIVERSIDAD CATÓLICA DE CHILE</t>
  </si>
  <si>
    <t>UNIVERSIDAD DE CONCEPCIÓN</t>
  </si>
  <si>
    <t>PONTIFICIA UNIVERSIDAD CATÓLICA DE VALPARAÍSO</t>
  </si>
  <si>
    <t>UNIVERSIDAD AUSTRAL DE CHILE</t>
  </si>
  <si>
    <t>UNIVERSIDAD TÉCNICA FEDERICO SANTA MARÍA</t>
  </si>
  <si>
    <t>UNIVERSIDAD CATÓLICA DEL NORTE</t>
  </si>
  <si>
    <t>UNIVERSIDAD CATÓLICA DE TEMUCO</t>
  </si>
  <si>
    <t>Tipo IES</t>
  </si>
  <si>
    <t>CRUCH-PRIVADA</t>
  </si>
  <si>
    <t>UCM</t>
  </si>
  <si>
    <t>USC</t>
  </si>
  <si>
    <t>UNIVERSIDAD CATÓLICA DE LA SANTÍSIMA CONCEPCIÓN</t>
  </si>
  <si>
    <t>UNIVERSIDAD CATÓLICA DEL MAULE</t>
  </si>
  <si>
    <t>Total Conjunto</t>
  </si>
  <si>
    <t>Total Conjunto &gt;=5 años</t>
  </si>
  <si>
    <t>Ind+Conj &gt;=5 años</t>
  </si>
  <si>
    <t>Categorías</t>
  </si>
  <si>
    <t>1/2</t>
  </si>
  <si>
    <t>3/4</t>
  </si>
  <si>
    <t>(3+5+6)/4</t>
  </si>
  <si>
    <t>7/4</t>
  </si>
  <si>
    <t>7/3</t>
  </si>
  <si>
    <t>(8/9)</t>
  </si>
  <si>
    <t>10/11</t>
  </si>
  <si>
    <t>12/13</t>
  </si>
  <si>
    <t>14/15</t>
  </si>
  <si>
    <t>a) N° Académicos JC por cada 100 matriculados</t>
  </si>
  <si>
    <t>b) Porcentaje de Ac con Doc respecto a JCE</t>
  </si>
  <si>
    <t>c) Porcentaje de Ac con Esp. Méd., Mg o Doc respecto a JCE</t>
  </si>
  <si>
    <t>d) N° Publicaciones Scopus por JCE</t>
  </si>
  <si>
    <t>e) N° Publicaciones Scopus por JCE con Doc.</t>
  </si>
  <si>
    <t>f) Promedio de citas por publicación quinquenio</t>
  </si>
  <si>
    <t>g) Porcentaje de est. 1er año Q1, Q2, Q3 respecto al total de alumnos de 1er año</t>
  </si>
  <si>
    <t>h) Porcentaje de retención primer año pregrado</t>
  </si>
  <si>
    <t>i) Tasa de titulación respecto a alumnos 1er año de la promoción</t>
  </si>
  <si>
    <t>j) Tasa de graduación programas doctorado</t>
  </si>
  <si>
    <t>k) N° Patentes solicitadas PCT por JCE</t>
  </si>
  <si>
    <t>Resultado i/Resultado Máximo</t>
  </si>
  <si>
    <t>Concatenado</t>
  </si>
  <si>
    <t>Ajustes</t>
  </si>
  <si>
    <t>Promedio</t>
  </si>
  <si>
    <t>Ponderación</t>
  </si>
  <si>
    <t>Montos Categorías</t>
  </si>
  <si>
    <t>CRUCH-PRIVADACategoría I</t>
  </si>
  <si>
    <t>CRUCH-PRIVADACategoría II</t>
  </si>
  <si>
    <t>CRUCH-PRIVADACategoría III</t>
  </si>
  <si>
    <t>Factor</t>
  </si>
  <si>
    <t>Concatenar</t>
  </si>
  <si>
    <t>N° IES</t>
  </si>
  <si>
    <t>Montos</t>
  </si>
  <si>
    <t>M$</t>
  </si>
  <si>
    <t>Monto Categ</t>
  </si>
  <si>
    <t>AFI 2016</t>
  </si>
  <si>
    <t>Total Elemento Mixto</t>
  </si>
  <si>
    <t>% Por tipo de IES</t>
  </si>
  <si>
    <t>Monto por Tipo IES-Categoría</t>
  </si>
  <si>
    <t>Suma Promedio por Tipo IES-Categoría</t>
  </si>
  <si>
    <t>Total por IES</t>
  </si>
  <si>
    <t>Redondear por IES</t>
  </si>
  <si>
    <t>Ajustado por IES</t>
  </si>
  <si>
    <t>16/19</t>
  </si>
  <si>
    <t>(20+21)/4)</t>
  </si>
  <si>
    <t>Redondear</t>
  </si>
  <si>
    <t>% por IES</t>
  </si>
  <si>
    <t>Tipos IES</t>
  </si>
  <si>
    <t>AFI 2016 Reajustado 3,0%</t>
  </si>
  <si>
    <t>Porcentaje</t>
  </si>
  <si>
    <t>Monto</t>
  </si>
  <si>
    <t>Monto Publicaciones</t>
  </si>
  <si>
    <t>Publicaciones M$</t>
  </si>
  <si>
    <t>Acreditación Institucional M$</t>
  </si>
  <si>
    <t>Académicos JC con Doctorado M$</t>
  </si>
  <si>
    <t>Programas Doctorado Acreditado M$</t>
  </si>
  <si>
    <t>Académicos Jornada Completa M$</t>
  </si>
  <si>
    <t>Matrícula Regular Pregrado M$</t>
  </si>
  <si>
    <t>Puntaje Acreditación Investigación</t>
  </si>
  <si>
    <t>Puntaje Acreditación Todas las Áreas</t>
  </si>
  <si>
    <t>Puntaje Años Acreditación</t>
  </si>
  <si>
    <t>Suma Puntajes</t>
  </si>
  <si>
    <t>Monto por IES</t>
  </si>
  <si>
    <t>Porcentaje por IES</t>
  </si>
  <si>
    <t>Monto Acreditaciones</t>
  </si>
  <si>
    <t>Monto Académicos JC Doctorado</t>
  </si>
  <si>
    <t>PONTIFICIA UNIVERSIDAD CATOLICA DE CHILE</t>
  </si>
  <si>
    <t>UNIVERSIDAD DE CONCEPCION</t>
  </si>
  <si>
    <t>PONTIFICIA UNIVERSIDAD CATOLICA DE VALPARAISO</t>
  </si>
  <si>
    <t>UNIVERSIDAD CATOLICA DEL NORTE</t>
  </si>
  <si>
    <t>UNIVERSIDAD TECNICA FEDERICO SANTA MARIA</t>
  </si>
  <si>
    <t>UNIVERSIDAD CATOLICA DE TEMUCO</t>
  </si>
  <si>
    <t>UNIVERSIDAD CATOLICA DE LA SANTISIMA CONCEPCION</t>
  </si>
  <si>
    <t>UNIVERSIDAD CATOLICA DEL MAULE</t>
  </si>
  <si>
    <t>Monto Matrícula Regula Pregrado</t>
  </si>
  <si>
    <t>Monto Académicos JC</t>
  </si>
  <si>
    <t>Monto Programas Doct. Acreditados</t>
  </si>
  <si>
    <t>Total</t>
  </si>
  <si>
    <t>Total Complejidad Institucional</t>
  </si>
  <si>
    <t>Código DFI</t>
  </si>
  <si>
    <t>Doctorado Conjunto Años Acreditación</t>
  </si>
  <si>
    <t>Total individual</t>
  </si>
  <si>
    <t>Total General</t>
  </si>
  <si>
    <t>Transferencias Corrientes</t>
  </si>
  <si>
    <t>Transferencias de Capital</t>
  </si>
  <si>
    <t>Complejidad Institucional BD 30%</t>
  </si>
  <si>
    <t>Doctorado Individual Años Acreditación</t>
  </si>
  <si>
    <t>b) Total Elemento Desempeño</t>
  </si>
  <si>
    <t>1. AFI 2016</t>
  </si>
  <si>
    <t>3. Complejidad Institucional</t>
  </si>
  <si>
    <t>a) Elemento Mixto</t>
  </si>
  <si>
    <t>b) Elemento Desempeño</t>
  </si>
  <si>
    <t>1. AFI 2016 Reajustado</t>
  </si>
  <si>
    <t>Miles de pesos</t>
  </si>
  <si>
    <t>Miles de Pesos</t>
  </si>
  <si>
    <t xml:space="preserve">Total Asignación BD
M$ </t>
  </si>
  <si>
    <t>% IES</t>
  </si>
  <si>
    <t>1er semestre</t>
  </si>
  <si>
    <t>Saldo</t>
  </si>
  <si>
    <t>Recursos Totales Basal por Desempeño</t>
  </si>
  <si>
    <t>TOTAL</t>
  </si>
  <si>
    <t>BASAL POR DESEMPEÑO</t>
  </si>
  <si>
    <t>SIES</t>
  </si>
  <si>
    <t>ANID</t>
  </si>
  <si>
    <t>INAPI</t>
  </si>
  <si>
    <t>Indicadores y Montos por IES, BD</t>
  </si>
  <si>
    <t>TOTAL MAT PhD 2017</t>
  </si>
  <si>
    <t>Cod DFI</t>
  </si>
  <si>
    <t>Región Universidad
(casa central)</t>
  </si>
  <si>
    <t>Región Metropolitana de Santiago</t>
  </si>
  <si>
    <t>Región del Bío - Bío</t>
  </si>
  <si>
    <t>Región de Valparaíso</t>
  </si>
  <si>
    <t>Región de Los Ríos</t>
  </si>
  <si>
    <t>Región de Antofagasta</t>
  </si>
  <si>
    <t>Región de La Araucanía</t>
  </si>
  <si>
    <t>Región del Maule</t>
  </si>
  <si>
    <t>BD-Universidades CRUCH-PRIVADAS (G9)</t>
  </si>
  <si>
    <t>Reglamento vigente (año 2021)</t>
  </si>
  <si>
    <t>TOTAL MAT PhD 2018</t>
  </si>
  <si>
    <t>Solicitud_ pat_nac_2022</t>
  </si>
  <si>
    <t>Univ/Cruch/G9</t>
  </si>
  <si>
    <t>Distribución Recursos Basal por Desempeño (BD)</t>
  </si>
  <si>
    <t>a) (N° Ac. JC 2022/Mat Total 2022)*100</t>
  </si>
  <si>
    <t>b) (N° JCE Doc 2022/JCE 2022)</t>
  </si>
  <si>
    <t>c) ((N° JCE Doc 2022+N° JCE Mg 2022+N° JCE Esp Med 2022)/JCE 2022)</t>
  </si>
  <si>
    <t>d) N° Public. Scopus 2022/JCE 2022</t>
  </si>
  <si>
    <t>e) N° Public. Scopus 2022/N° JCE Doc 2022</t>
  </si>
  <si>
    <t>g) (N° Est 1er año Q1, Q2, Q3 2022/Mat 1er nivel 2022)</t>
  </si>
  <si>
    <t>f) (N° Citas 2018-2022)/(N° Public. Scopus 2018-2022)</t>
  </si>
  <si>
    <t>j) Mat Graduados 2022 Doctorados/Mat 1er año 2018 Doctorados</t>
  </si>
  <si>
    <t>h) (Mat 1er nivel 2021 Retenida 2022/Mat 1er nivel 2021)</t>
  </si>
  <si>
    <t>i) (Mat Ret 4° Año 2022/Mat 1er año 2019)</t>
  </si>
  <si>
    <t>k) (N° Patentes solicitadas PCT 2022 +2021)*1000/(JCE 2022))</t>
  </si>
  <si>
    <t>Saldo1</t>
  </si>
  <si>
    <t>Saldo2</t>
  </si>
  <si>
    <t>Ley de Presupuesto año 2025</t>
  </si>
  <si>
    <t>JC_2023</t>
  </si>
  <si>
    <t>MAT_2023</t>
  </si>
  <si>
    <t>JCE Doctor 2023</t>
  </si>
  <si>
    <t>JCE 2023</t>
  </si>
  <si>
    <t>JCE Magister 2023</t>
  </si>
  <si>
    <t>JCE Esp. Med._Odont. 2023</t>
  </si>
  <si>
    <t>Publicaciones  (citables)
2023</t>
  </si>
  <si>
    <t>Citas 2019_2023</t>
  </si>
  <si>
    <t>Publicaciones 2019-2023 (citables)</t>
  </si>
  <si>
    <t>Q1_Q2_Q3_MAT_1año_2023</t>
  </si>
  <si>
    <t>MAT_1año_2023(g)</t>
  </si>
  <si>
    <t>MAT_2022_Ret_1er_enMAT_2023</t>
  </si>
  <si>
    <t>MAT_2022 primer año</t>
  </si>
  <si>
    <t>MAT_2020_Ret_4to_enMAT_2023</t>
  </si>
  <si>
    <t>MAT_1año_2020(i)</t>
  </si>
  <si>
    <t>Grad_PhD_2019 al_2023</t>
  </si>
  <si>
    <t>TOTAL MAT PhD 2019</t>
  </si>
  <si>
    <t>Solicitud_ pat_nac_2023</t>
  </si>
  <si>
    <t>Anticipo BD 2025</t>
  </si>
  <si>
    <t>Saldo BD 2025</t>
  </si>
  <si>
    <t xml:space="preserve">Montos Anticipo 2025
Transferencias Corrientes
M$ </t>
  </si>
  <si>
    <t xml:space="preserve">Montos Anticipo 2025
Transferencias de Capital
M$ </t>
  </si>
  <si>
    <r>
      <rPr>
        <b/>
        <sz val="10"/>
        <rFont val="Calibri"/>
        <family val="2"/>
        <scheme val="minor"/>
      </rPr>
      <t>Dec. N° XX</t>
    </r>
    <r>
      <rPr>
        <b/>
        <sz val="10"/>
        <color theme="1"/>
        <rFont val="Calibri"/>
        <family val="2"/>
        <scheme val="minor"/>
      </rPr>
      <t xml:space="preserve">
Monto Saldo 2025
M$</t>
    </r>
  </si>
  <si>
    <t xml:space="preserve">Montos Saldo 2025
Transferencias Corrientes
M$ </t>
  </si>
  <si>
    <t xml:space="preserve">Montos Saldo 2025
Transferencias de Capital
M$ </t>
  </si>
  <si>
    <t>Presupuesto 2025</t>
  </si>
  <si>
    <t>N° Acad. JC 2024</t>
  </si>
  <si>
    <t>N° Doc JC 2024</t>
  </si>
  <si>
    <t>N° Scopus 2023</t>
  </si>
  <si>
    <t>Anticipo BD 
2024
M$</t>
  </si>
  <si>
    <t>Saldo BD
2024
M$</t>
  </si>
  <si>
    <t>BD 2024</t>
  </si>
  <si>
    <t>Monto M$ Anticipo 2025</t>
  </si>
  <si>
    <t>Monto Anticipo 2025 (sin decimales)
M$</t>
  </si>
  <si>
    <t xml:space="preserve">Montos Anticipo 2025 
Transferencias Corrientes
M$ </t>
  </si>
  <si>
    <t>BASAL POR DESEMPEÑO 2024</t>
  </si>
  <si>
    <t>N° Matrícula Regular Pregrado 2024</t>
  </si>
  <si>
    <t>Acreditación Investigación 2024</t>
  </si>
  <si>
    <t>Acreditación Todas las Áreas 2024</t>
  </si>
  <si>
    <t>Años Acreditación Institucional 2024</t>
  </si>
  <si>
    <t>N° Doctorados Acreditados 2024</t>
  </si>
  <si>
    <t>N° Publicaciones 2023</t>
  </si>
  <si>
    <t>Descuento Presupuesto 2025</t>
  </si>
  <si>
    <t>BD-Universidades CRUCH-PRIVADAS (G9) rebajado</t>
  </si>
  <si>
    <t>Total Asignación 2025
 M$</t>
  </si>
  <si>
    <t>Total Asignación BD 2025
M$
Sin decimales</t>
  </si>
  <si>
    <t>Anticipo Basal por Desempeño (BD)</t>
  </si>
  <si>
    <t>Unidad de Análisis y Estudios, DIVIA - SUBESUP</t>
  </si>
  <si>
    <t xml:space="preserve"> 30 de enero 2025</t>
  </si>
  <si>
    <t>Decreto N°43-2024
Decreto N°69-2024
Montos a Distribuir</t>
  </si>
  <si>
    <t>Decreto N°105-2024
Montos a Distribuir</t>
  </si>
  <si>
    <t xml:space="preserve">Montos Anticipo 2025 
Transferencias de Capital
M$ </t>
  </si>
  <si>
    <t>Monto M$ Ley de Presupuestos 2025</t>
  </si>
  <si>
    <t>%</t>
  </si>
  <si>
    <t>Porcentaje de Anticipo</t>
  </si>
  <si>
    <t>Monto anticipo 30% BD</t>
  </si>
  <si>
    <t>Complejidad Institucional</t>
  </si>
  <si>
    <t>2. U. Tutoras CFT Estatales</t>
  </si>
  <si>
    <t>3. Total Complejidad Institucional</t>
  </si>
  <si>
    <t>1er semestre BD (Anticipo)</t>
  </si>
  <si>
    <t>2do Semestre BD (Saldo)</t>
  </si>
  <si>
    <t>CÁLCULO BASAL POR DESEMPEÑO 2025</t>
  </si>
  <si>
    <t>Reajuste AFI 2016</t>
  </si>
  <si>
    <t>Dec. N° 40 - 2025
Monto Anticipo 2025
M$</t>
  </si>
  <si>
    <t xml:space="preserve">Montos 2025
Transferencias Corrientes
Total
M$ </t>
  </si>
  <si>
    <t xml:space="preserve">Montos  2025
Transferencias de Capital
Total
M$ </t>
  </si>
  <si>
    <t>Noviembre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</si>
</sst>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1" formatCode="_ * #,##0_ ;_ * \-#,##0_ ;_ * &quot;-&quot;_ ;_ @_ "/>
    <numFmt numFmtId="164" formatCode="_-* #,##0.00_-;\-* #,##0.00_-;_-* &quot;-&quot;??_-;_-@_-"/>
    <numFmt numFmtId="165" formatCode="0.00000"/>
    <numFmt numFmtId="166" formatCode="_-* #,##0_-;\-* #,##0_-;_-* &quot;-&quot;??_-;_-@_-"/>
    <numFmt numFmtId="167" formatCode="0.0000000"/>
    <numFmt numFmtId="168" formatCode="_-* #,##0.0000_-;\-* #,##0.0000_-;_-* &quot;-&quot;??_-;_-@_-"/>
    <numFmt numFmtId="169" formatCode="_-* #,##0.0000_-;\-* #,##0.0000_-;_-* &quot;-&quot;????_-;_-@_-"/>
    <numFmt numFmtId="170" formatCode="_-* #,##0.00\ _€_-;\-* #,##0.00\ _€_-;_-* &quot;-&quot;??\ _€_-;_-@_-"/>
    <numFmt numFmtId="171" formatCode="_-* #,##0.000_-;\-* #,##0.000_-;_-* &quot;-&quot;??_-;_-@_-"/>
    <numFmt numFmtId="172" formatCode="_-* #,##0.0_-;\-* #,##0.0_-;_-* &quot;-&quot;??_-;_-@_-"/>
    <numFmt numFmtId="173" formatCode="#,##0.0"/>
    <numFmt numFmtId="174" formatCode="_ * #,##0.0_ ;_ * \-#,##0.0_ ;_ * &quot;-&quot;?_ ;_ @_ "/>
    <numFmt numFmtId="175" formatCode="0.000%"/>
    <numFmt numFmtId="176" formatCode="0.0%"/>
  </numFmts>
  <fonts count="2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1"/>
      <color theme="6" tint="0.39997558519241921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4" tint="0.39997558519241921"/>
      <name val="Calibri"/>
      <family val="2"/>
      <scheme val="minor"/>
    </font>
    <font>
      <sz val="10"/>
      <color theme="4" tint="0.3999755851924192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8"/>
      <color theme="4" tint="0.39997558519241921"/>
      <name val="Calibri"/>
      <family val="2"/>
      <scheme val="minor"/>
    </font>
    <font>
      <sz val="9"/>
      <color theme="0" tint="-0.34998626667073579"/>
      <name val="Calibri"/>
      <family val="2"/>
      <scheme val="minor"/>
    </font>
    <font>
      <sz val="9"/>
      <color theme="4" tint="0.39997558519241921"/>
      <name val="Calibri"/>
      <family val="2"/>
      <scheme val="minor"/>
    </font>
    <font>
      <b/>
      <sz val="15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sz val="1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17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3" fillId="0" borderId="0" applyFont="0" applyFill="0" applyBorder="0" applyAlignment="0" applyProtection="0"/>
  </cellStyleXfs>
  <cellXfs count="301">
    <xf numFmtId="0" fontId="0" fillId="0" borderId="0" xfId="0"/>
    <xf numFmtId="0" fontId="1" fillId="0" borderId="0" xfId="0" applyFont="1"/>
    <xf numFmtId="0" fontId="2" fillId="0" borderId="0" xfId="0" applyFont="1"/>
    <xf numFmtId="49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166" fontId="1" fillId="0" borderId="0" xfId="3" applyNumberFormat="1" applyFont="1"/>
    <xf numFmtId="166" fontId="6" fillId="0" borderId="0" xfId="3" applyNumberFormat="1" applyFont="1"/>
    <xf numFmtId="0" fontId="6" fillId="0" borderId="0" xfId="0" applyFont="1"/>
    <xf numFmtId="0" fontId="6" fillId="2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165" fontId="2" fillId="5" borderId="0" xfId="0" applyNumberFormat="1" applyFont="1" applyFill="1" applyAlignment="1">
      <alignment horizontal="center" wrapText="1"/>
    </xf>
    <xf numFmtId="0" fontId="4" fillId="4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wrapText="1"/>
    </xf>
    <xf numFmtId="10" fontId="1" fillId="0" borderId="1" xfId="0" applyNumberFormat="1" applyFont="1" applyBorder="1"/>
    <xf numFmtId="10" fontId="2" fillId="5" borderId="0" xfId="4" applyNumberFormat="1" applyFont="1" applyFill="1" applyAlignment="1">
      <alignment horizontal="center" wrapText="1"/>
    </xf>
    <xf numFmtId="0" fontId="6" fillId="0" borderId="0" xfId="0" applyFont="1" applyAlignment="1">
      <alignment wrapText="1"/>
    </xf>
    <xf numFmtId="49" fontId="4" fillId="0" borderId="0" xfId="0" applyNumberFormat="1" applyFont="1" applyAlignment="1">
      <alignment wrapText="1"/>
    </xf>
    <xf numFmtId="0" fontId="1" fillId="8" borderId="3" xfId="0" applyFont="1" applyFill="1" applyBorder="1"/>
    <xf numFmtId="0" fontId="1" fillId="8" borderId="0" xfId="0" applyFont="1" applyFill="1"/>
    <xf numFmtId="0" fontId="2" fillId="8" borderId="0" xfId="0" applyFont="1" applyFill="1"/>
    <xf numFmtId="0" fontId="2" fillId="9" borderId="3" xfId="0" applyFont="1" applyFill="1" applyBorder="1" applyAlignment="1">
      <alignment horizontal="center" wrapText="1"/>
    </xf>
    <xf numFmtId="0" fontId="2" fillId="9" borderId="0" xfId="0" applyFont="1" applyFill="1" applyAlignment="1">
      <alignment horizontal="center" wrapText="1"/>
    </xf>
    <xf numFmtId="0" fontId="2" fillId="9" borderId="5" xfId="0" applyFont="1" applyFill="1" applyBorder="1" applyAlignment="1">
      <alignment horizontal="center" wrapText="1"/>
    </xf>
    <xf numFmtId="165" fontId="2" fillId="10" borderId="0" xfId="0" applyNumberFormat="1" applyFont="1" applyFill="1" applyAlignment="1">
      <alignment horizontal="center" wrapText="1"/>
    </xf>
    <xf numFmtId="165" fontId="2" fillId="10" borderId="5" xfId="0" applyNumberFormat="1" applyFont="1" applyFill="1" applyBorder="1" applyAlignment="1">
      <alignment horizontal="center" wrapText="1"/>
    </xf>
    <xf numFmtId="165" fontId="2" fillId="11" borderId="0" xfId="0" applyNumberFormat="1" applyFont="1" applyFill="1" applyAlignment="1">
      <alignment horizontal="center" wrapText="1"/>
    </xf>
    <xf numFmtId="166" fontId="2" fillId="11" borderId="0" xfId="3" applyNumberFormat="1" applyFont="1" applyFill="1" applyAlignment="1">
      <alignment horizontal="center" wrapText="1"/>
    </xf>
    <xf numFmtId="0" fontId="4" fillId="12" borderId="4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167" fontId="2" fillId="11" borderId="0" xfId="0" applyNumberFormat="1" applyFont="1" applyFill="1" applyAlignment="1">
      <alignment horizontal="center" wrapText="1"/>
    </xf>
    <xf numFmtId="1" fontId="0" fillId="0" borderId="0" xfId="0" applyNumberFormat="1"/>
    <xf numFmtId="165" fontId="0" fillId="0" borderId="0" xfId="0" applyNumberFormat="1"/>
    <xf numFmtId="166" fontId="6" fillId="0" borderId="0" xfId="3" applyNumberFormat="1" applyFont="1" applyFill="1" applyBorder="1"/>
    <xf numFmtId="166" fontId="1" fillId="6" borderId="1" xfId="3" applyNumberFormat="1" applyFont="1" applyFill="1" applyBorder="1"/>
    <xf numFmtId="0" fontId="1" fillId="0" borderId="1" xfId="0" applyFont="1" applyBorder="1"/>
    <xf numFmtId="166" fontId="1" fillId="0" borderId="1" xfId="3" applyNumberFormat="1" applyFont="1" applyFill="1" applyBorder="1"/>
    <xf numFmtId="168" fontId="0" fillId="0" borderId="0" xfId="0" applyNumberFormat="1"/>
    <xf numFmtId="169" fontId="0" fillId="0" borderId="0" xfId="0" applyNumberFormat="1"/>
    <xf numFmtId="10" fontId="1" fillId="0" borderId="1" xfId="4" applyNumberFormat="1" applyFont="1" applyBorder="1"/>
    <xf numFmtId="166" fontId="1" fillId="0" borderId="1" xfId="0" applyNumberFormat="1" applyFont="1" applyBorder="1"/>
    <xf numFmtId="0" fontId="1" fillId="6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horizontal="center" vertical="center" wrapText="1"/>
    </xf>
    <xf numFmtId="10" fontId="7" fillId="0" borderId="1" xfId="4" applyNumberFormat="1" applyFont="1" applyBorder="1"/>
    <xf numFmtId="166" fontId="7" fillId="0" borderId="1" xfId="3" applyNumberFormat="1" applyFont="1" applyBorder="1"/>
    <xf numFmtId="0" fontId="1" fillId="6" borderId="1" xfId="0" applyFont="1" applyFill="1" applyBorder="1" applyAlignment="1">
      <alignment vertical="center"/>
    </xf>
    <xf numFmtId="0" fontId="1" fillId="6" borderId="1" xfId="0" applyFont="1" applyFill="1" applyBorder="1" applyAlignment="1">
      <alignment horizontal="center" vertical="center"/>
    </xf>
    <xf numFmtId="10" fontId="1" fillId="6" borderId="1" xfId="4" applyNumberFormat="1" applyFont="1" applyFill="1" applyBorder="1"/>
    <xf numFmtId="166" fontId="1" fillId="6" borderId="1" xfId="0" applyNumberFormat="1" applyFont="1" applyFill="1" applyBorder="1"/>
    <xf numFmtId="166" fontId="7" fillId="6" borderId="1" xfId="3" applyNumberFormat="1" applyFont="1" applyFill="1" applyBorder="1"/>
    <xf numFmtId="166" fontId="7" fillId="0" borderId="1" xfId="0" applyNumberFormat="1" applyFont="1" applyBorder="1"/>
    <xf numFmtId="0" fontId="1" fillId="0" borderId="2" xfId="0" applyFont="1" applyBorder="1"/>
    <xf numFmtId="164" fontId="1" fillId="0" borderId="0" xfId="3" applyFont="1"/>
    <xf numFmtId="164" fontId="6" fillId="0" borderId="0" xfId="3" applyFont="1"/>
    <xf numFmtId="166" fontId="2" fillId="11" borderId="1" xfId="3" applyNumberFormat="1" applyFont="1" applyFill="1" applyBorder="1" applyAlignment="1">
      <alignment horizontal="center" wrapText="1"/>
    </xf>
    <xf numFmtId="166" fontId="0" fillId="0" borderId="0" xfId="0" applyNumberFormat="1"/>
    <xf numFmtId="172" fontId="1" fillId="0" borderId="0" xfId="3" applyNumberFormat="1" applyFont="1"/>
    <xf numFmtId="172" fontId="2" fillId="11" borderId="0" xfId="3" applyNumberFormat="1" applyFont="1" applyFill="1" applyAlignment="1">
      <alignment horizontal="center" wrapText="1"/>
    </xf>
    <xf numFmtId="164" fontId="2" fillId="11" borderId="0" xfId="3" applyFont="1" applyFill="1" applyAlignment="1">
      <alignment horizontal="center" wrapText="1"/>
    </xf>
    <xf numFmtId="164" fontId="2" fillId="11" borderId="1" xfId="3" applyFont="1" applyFill="1" applyBorder="1" applyAlignment="1">
      <alignment horizontal="center" wrapText="1"/>
    </xf>
    <xf numFmtId="172" fontId="2" fillId="11" borderId="1" xfId="3" applyNumberFormat="1" applyFont="1" applyFill="1" applyBorder="1" applyAlignment="1">
      <alignment horizontal="center" wrapText="1"/>
    </xf>
    <xf numFmtId="0" fontId="8" fillId="0" borderId="0" xfId="0" applyFont="1"/>
    <xf numFmtId="0" fontId="2" fillId="0" borderId="1" xfId="0" applyFont="1" applyBorder="1"/>
    <xf numFmtId="0" fontId="2" fillId="0" borderId="7" xfId="0" applyFont="1" applyBorder="1"/>
    <xf numFmtId="166" fontId="6" fillId="6" borderId="9" xfId="3" applyNumberFormat="1" applyFont="1" applyFill="1" applyBorder="1"/>
    <xf numFmtId="166" fontId="6" fillId="2" borderId="9" xfId="3" applyNumberFormat="1" applyFont="1" applyFill="1" applyBorder="1"/>
    <xf numFmtId="0" fontId="9" fillId="0" borderId="0" xfId="0" applyFont="1" applyAlignment="1">
      <alignment horizontal="center"/>
    </xf>
    <xf numFmtId="166" fontId="1" fillId="2" borderId="1" xfId="3" applyNumberFormat="1" applyFont="1" applyFill="1" applyBorder="1"/>
    <xf numFmtId="0" fontId="1" fillId="0" borderId="14" xfId="0" applyFont="1" applyBorder="1"/>
    <xf numFmtId="0" fontId="1" fillId="0" borderId="17" xfId="0" applyFont="1" applyBorder="1"/>
    <xf numFmtId="0" fontId="2" fillId="0" borderId="6" xfId="0" applyFont="1" applyBorder="1"/>
    <xf numFmtId="166" fontId="1" fillId="6" borderId="6" xfId="3" applyNumberFormat="1" applyFont="1" applyFill="1" applyBorder="1"/>
    <xf numFmtId="166" fontId="1" fillId="2" borderId="6" xfId="3" applyNumberFormat="1" applyFont="1" applyFill="1" applyBorder="1"/>
    <xf numFmtId="0" fontId="6" fillId="6" borderId="20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1" fillId="0" borderId="21" xfId="0" applyFont="1" applyBorder="1"/>
    <xf numFmtId="166" fontId="1" fillId="6" borderId="7" xfId="3" applyNumberFormat="1" applyFont="1" applyFill="1" applyBorder="1"/>
    <xf numFmtId="166" fontId="1" fillId="2" borderId="7" xfId="3" applyNumberFormat="1" applyFont="1" applyFill="1" applyBorder="1"/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6" fillId="1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9" fontId="2" fillId="11" borderId="1" xfId="4" applyFont="1" applyFill="1" applyBorder="1" applyAlignment="1">
      <alignment horizontal="center" wrapText="1"/>
    </xf>
    <xf numFmtId="172" fontId="6" fillId="6" borderId="6" xfId="3" applyNumberFormat="1" applyFont="1" applyFill="1" applyBorder="1"/>
    <xf numFmtId="172" fontId="6" fillId="6" borderId="1" xfId="3" applyNumberFormat="1" applyFont="1" applyFill="1" applyBorder="1"/>
    <xf numFmtId="172" fontId="6" fillId="6" borderId="7" xfId="3" applyNumberFormat="1" applyFont="1" applyFill="1" applyBorder="1"/>
    <xf numFmtId="172" fontId="6" fillId="9" borderId="6" xfId="3" applyNumberFormat="1" applyFont="1" applyFill="1" applyBorder="1"/>
    <xf numFmtId="172" fontId="6" fillId="9" borderId="1" xfId="3" applyNumberFormat="1" applyFont="1" applyFill="1" applyBorder="1"/>
    <xf numFmtId="172" fontId="6" fillId="9" borderId="7" xfId="3" applyNumberFormat="1" applyFont="1" applyFill="1" applyBorder="1"/>
    <xf numFmtId="172" fontId="6" fillId="9" borderId="9" xfId="3" applyNumberFormat="1" applyFont="1" applyFill="1" applyBorder="1"/>
    <xf numFmtId="0" fontId="1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wrapText="1"/>
    </xf>
    <xf numFmtId="0" fontId="1" fillId="3" borderId="1" xfId="0" applyFont="1" applyFill="1" applyBorder="1"/>
    <xf numFmtId="0" fontId="6" fillId="3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6" fillId="2" borderId="1" xfId="0" applyFont="1" applyFill="1" applyBorder="1"/>
    <xf numFmtId="0" fontId="1" fillId="6" borderId="1" xfId="0" applyFont="1" applyFill="1" applyBorder="1"/>
    <xf numFmtId="0" fontId="6" fillId="6" borderId="1" xfId="0" applyFont="1" applyFill="1" applyBorder="1"/>
    <xf numFmtId="0" fontId="7" fillId="0" borderId="1" xfId="0" applyFont="1" applyBorder="1"/>
    <xf numFmtId="10" fontId="7" fillId="0" borderId="1" xfId="4" applyNumberFormat="1" applyFont="1" applyFill="1" applyBorder="1"/>
    <xf numFmtId="166" fontId="7" fillId="0" borderId="1" xfId="3" applyNumberFormat="1" applyFont="1" applyFill="1" applyBorder="1"/>
    <xf numFmtId="0" fontId="6" fillId="7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6" fillId="6" borderId="6" xfId="0" applyFont="1" applyFill="1" applyBorder="1" applyAlignment="1">
      <alignment horizontal="center" vertical="center" wrapText="1"/>
    </xf>
    <xf numFmtId="172" fontId="1" fillId="0" borderId="1" xfId="3" applyNumberFormat="1" applyFont="1" applyBorder="1"/>
    <xf numFmtId="172" fontId="6" fillId="0" borderId="1" xfId="3" applyNumberFormat="1" applyFont="1" applyFill="1" applyBorder="1"/>
    <xf numFmtId="174" fontId="0" fillId="0" borderId="0" xfId="0" applyNumberFormat="1"/>
    <xf numFmtId="0" fontId="0" fillId="0" borderId="1" xfId="0" applyBorder="1"/>
    <xf numFmtId="10" fontId="0" fillId="0" borderId="0" xfId="4" applyNumberFormat="1" applyFont="1"/>
    <xf numFmtId="172" fontId="0" fillId="0" borderId="1" xfId="0" applyNumberFormat="1" applyBorder="1"/>
    <xf numFmtId="174" fontId="0" fillId="0" borderId="1" xfId="0" applyNumberFormat="1" applyBorder="1"/>
    <xf numFmtId="173" fontId="7" fillId="0" borderId="0" xfId="0" applyNumberFormat="1" applyFont="1"/>
    <xf numFmtId="0" fontId="6" fillId="0" borderId="1" xfId="0" applyFont="1" applyBorder="1" applyAlignment="1">
      <alignment horizontal="center" vertical="center" wrapText="1"/>
    </xf>
    <xf numFmtId="171" fontId="5" fillId="0" borderId="14" xfId="0" applyNumberFormat="1" applyFont="1" applyBorder="1"/>
    <xf numFmtId="172" fontId="6" fillId="14" borderId="6" xfId="3" applyNumberFormat="1" applyFont="1" applyFill="1" applyBorder="1"/>
    <xf numFmtId="10" fontId="6" fillId="14" borderId="18" xfId="4" applyNumberFormat="1" applyFont="1" applyFill="1" applyBorder="1" applyAlignment="1">
      <alignment horizontal="center" wrapText="1"/>
    </xf>
    <xf numFmtId="172" fontId="6" fillId="14" borderId="9" xfId="3" applyNumberFormat="1" applyFont="1" applyFill="1" applyBorder="1"/>
    <xf numFmtId="9" fontId="6" fillId="14" borderId="10" xfId="4" applyFont="1" applyFill="1" applyBorder="1" applyAlignment="1">
      <alignment horizontal="center"/>
    </xf>
    <xf numFmtId="3" fontId="0" fillId="0" borderId="0" xfId="0" applyNumberFormat="1"/>
    <xf numFmtId="175" fontId="15" fillId="0" borderId="0" xfId="4" applyNumberFormat="1" applyFont="1"/>
    <xf numFmtId="171" fontId="5" fillId="0" borderId="21" xfId="0" applyNumberFormat="1" applyFont="1" applyBorder="1"/>
    <xf numFmtId="171" fontId="5" fillId="0" borderId="8" xfId="0" applyNumberFormat="1" applyFont="1" applyBorder="1"/>
    <xf numFmtId="3" fontId="1" fillId="6" borderId="9" xfId="0" applyNumberFormat="1" applyFont="1" applyFill="1" applyBorder="1"/>
    <xf numFmtId="0" fontId="16" fillId="0" borderId="0" xfId="0" applyFont="1"/>
    <xf numFmtId="166" fontId="2" fillId="0" borderId="1" xfId="3" applyNumberFormat="1" applyFont="1" applyFill="1" applyBorder="1" applyAlignment="1">
      <alignment horizontal="center"/>
    </xf>
    <xf numFmtId="172" fontId="2" fillId="0" borderId="1" xfId="3" applyNumberFormat="1" applyFont="1" applyFill="1" applyBorder="1" applyAlignment="1">
      <alignment horizontal="center"/>
    </xf>
    <xf numFmtId="166" fontId="2" fillId="0" borderId="1" xfId="3" applyNumberFormat="1" applyFont="1" applyFill="1" applyBorder="1" applyAlignment="1">
      <alignment horizontal="center" vertical="center"/>
    </xf>
    <xf numFmtId="166" fontId="2" fillId="0" borderId="1" xfId="3" applyNumberFormat="1" applyFont="1" applyFill="1" applyBorder="1"/>
    <xf numFmtId="0" fontId="17" fillId="3" borderId="1" xfId="0" applyFont="1" applyFill="1" applyBorder="1" applyAlignment="1">
      <alignment horizontal="center" vertical="center" wrapText="1"/>
    </xf>
    <xf numFmtId="0" fontId="6" fillId="6" borderId="26" xfId="0" applyFont="1" applyFill="1" applyBorder="1" applyAlignment="1">
      <alignment horizontal="center" vertical="center" wrapText="1"/>
    </xf>
    <xf numFmtId="3" fontId="1" fillId="6" borderId="1" xfId="0" applyNumberFormat="1" applyFont="1" applyFill="1" applyBorder="1"/>
    <xf numFmtId="0" fontId="18" fillId="0" borderId="0" xfId="0" applyFont="1"/>
    <xf numFmtId="0" fontId="19" fillId="0" borderId="0" xfId="0" applyFont="1"/>
    <xf numFmtId="0" fontId="20" fillId="0" borderId="1" xfId="0" applyFont="1" applyBorder="1" applyAlignment="1">
      <alignment horizontal="center" vertical="center" wrapText="1"/>
    </xf>
    <xf numFmtId="166" fontId="21" fillId="0" borderId="1" xfId="3" applyNumberFormat="1" applyFont="1" applyFill="1" applyBorder="1"/>
    <xf numFmtId="0" fontId="21" fillId="0" borderId="1" xfId="0" applyFont="1" applyBorder="1"/>
    <xf numFmtId="0" fontId="20" fillId="0" borderId="1" xfId="0" applyFont="1" applyBorder="1"/>
    <xf numFmtId="166" fontId="20" fillId="0" borderId="1" xfId="3" applyNumberFormat="1" applyFont="1" applyBorder="1"/>
    <xf numFmtId="0" fontId="1" fillId="15" borderId="1" xfId="0" applyFont="1" applyFill="1" applyBorder="1"/>
    <xf numFmtId="41" fontId="1" fillId="15" borderId="1" xfId="8" applyFont="1" applyFill="1" applyBorder="1"/>
    <xf numFmtId="0" fontId="6" fillId="15" borderId="1" xfId="0" applyFont="1" applyFill="1" applyBorder="1" applyAlignment="1">
      <alignment horizontal="center" vertical="center" wrapText="1"/>
    </xf>
    <xf numFmtId="0" fontId="6" fillId="15" borderId="1" xfId="0" applyFont="1" applyFill="1" applyBorder="1"/>
    <xf numFmtId="41" fontId="6" fillId="15" borderId="1" xfId="8" applyFont="1" applyFill="1" applyBorder="1"/>
    <xf numFmtId="0" fontId="22" fillId="0" borderId="0" xfId="0" applyFont="1" applyAlignment="1">
      <alignment horizontal="center"/>
    </xf>
    <xf numFmtId="0" fontId="7" fillId="6" borderId="1" xfId="0" applyFont="1" applyFill="1" applyBorder="1"/>
    <xf numFmtId="10" fontId="7" fillId="6" borderId="1" xfId="4" applyNumberFormat="1" applyFont="1" applyFill="1" applyBorder="1"/>
    <xf numFmtId="166" fontId="7" fillId="6" borderId="1" xfId="4" applyNumberFormat="1" applyFont="1" applyFill="1" applyBorder="1"/>
    <xf numFmtId="10" fontId="7" fillId="6" borderId="2" xfId="4" applyNumberFormat="1" applyFont="1" applyFill="1" applyBorder="1"/>
    <xf numFmtId="0" fontId="6" fillId="0" borderId="1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10" fillId="16" borderId="12" xfId="0" applyFont="1" applyFill="1" applyBorder="1" applyAlignment="1">
      <alignment horizontal="center" vertical="center" wrapText="1"/>
    </xf>
    <xf numFmtId="0" fontId="6" fillId="16" borderId="12" xfId="0" applyFont="1" applyFill="1" applyBorder="1" applyAlignment="1">
      <alignment horizontal="center" vertical="center" wrapText="1"/>
    </xf>
    <xf numFmtId="0" fontId="6" fillId="16" borderId="13" xfId="0" applyFont="1" applyFill="1" applyBorder="1" applyAlignment="1">
      <alignment horizontal="center" vertical="center" wrapText="1"/>
    </xf>
    <xf numFmtId="10" fontId="6" fillId="0" borderId="2" xfId="4" applyNumberFormat="1" applyFont="1" applyFill="1" applyBorder="1" applyAlignment="1">
      <alignment horizontal="center" wrapText="1"/>
    </xf>
    <xf numFmtId="172" fontId="1" fillId="0" borderId="14" xfId="3" applyNumberFormat="1" applyFont="1" applyBorder="1"/>
    <xf numFmtId="173" fontId="10" fillId="16" borderId="1" xfId="3" applyNumberFormat="1" applyFont="1" applyFill="1" applyBorder="1"/>
    <xf numFmtId="172" fontId="6" fillId="0" borderId="1" xfId="0" applyNumberFormat="1" applyFont="1" applyBorder="1" applyAlignment="1">
      <alignment horizontal="left"/>
    </xf>
    <xf numFmtId="9" fontId="6" fillId="0" borderId="2" xfId="4" applyFont="1" applyFill="1" applyBorder="1" applyAlignment="1">
      <alignment horizontal="center"/>
    </xf>
    <xf numFmtId="173" fontId="6" fillId="0" borderId="8" xfId="0" applyNumberFormat="1" applyFont="1" applyBorder="1"/>
    <xf numFmtId="173" fontId="10" fillId="16" borderId="9" xfId="0" applyNumberFormat="1" applyFont="1" applyFill="1" applyBorder="1"/>
    <xf numFmtId="0" fontId="10" fillId="16" borderId="1" xfId="0" applyFont="1" applyFill="1" applyBorder="1"/>
    <xf numFmtId="0" fontId="10" fillId="16" borderId="1" xfId="0" applyFont="1" applyFill="1" applyBorder="1" applyAlignment="1">
      <alignment horizontal="center"/>
    </xf>
    <xf numFmtId="166" fontId="21" fillId="0" borderId="1" xfId="3" applyNumberFormat="1" applyFont="1" applyBorder="1"/>
    <xf numFmtId="172" fontId="0" fillId="0" borderId="0" xfId="0" applyNumberFormat="1"/>
    <xf numFmtId="0" fontId="20" fillId="16" borderId="1" xfId="0" applyFont="1" applyFill="1" applyBorder="1"/>
    <xf numFmtId="166" fontId="20" fillId="16" borderId="1" xfId="3" applyNumberFormat="1" applyFont="1" applyFill="1" applyBorder="1"/>
    <xf numFmtId="0" fontId="23" fillId="0" borderId="0" xfId="0" applyFont="1"/>
    <xf numFmtId="165" fontId="23" fillId="0" borderId="0" xfId="0" applyNumberFormat="1" applyFont="1"/>
    <xf numFmtId="0" fontId="24" fillId="0" borderId="0" xfId="0" applyFont="1"/>
    <xf numFmtId="0" fontId="6" fillId="17" borderId="2" xfId="0" applyFont="1" applyFill="1" applyBorder="1" applyAlignment="1">
      <alignment horizontal="center" vertical="center" wrapText="1"/>
    </xf>
    <xf numFmtId="3" fontId="6" fillId="17" borderId="2" xfId="0" applyNumberFormat="1" applyFont="1" applyFill="1" applyBorder="1"/>
    <xf numFmtId="3" fontId="6" fillId="17" borderId="30" xfId="0" applyNumberFormat="1" applyFont="1" applyFill="1" applyBorder="1"/>
    <xf numFmtId="3" fontId="6" fillId="17" borderId="31" xfId="0" applyNumberFormat="1" applyFont="1" applyFill="1" applyBorder="1"/>
    <xf numFmtId="173" fontId="6" fillId="15" borderId="1" xfId="3" applyNumberFormat="1" applyFont="1" applyFill="1" applyBorder="1"/>
    <xf numFmtId="173" fontId="6" fillId="15" borderId="9" xfId="0" applyNumberFormat="1" applyFont="1" applyFill="1" applyBorder="1"/>
    <xf numFmtId="0" fontId="6" fillId="6" borderId="11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25" fillId="0" borderId="0" xfId="0" applyFont="1"/>
    <xf numFmtId="173" fontId="0" fillId="0" borderId="0" xfId="0" applyNumberFormat="1"/>
    <xf numFmtId="0" fontId="19" fillId="0" borderId="1" xfId="0" applyFont="1" applyBorder="1" applyAlignment="1">
      <alignment horizontal="right"/>
    </xf>
    <xf numFmtId="3" fontId="19" fillId="0" borderId="1" xfId="0" applyNumberFormat="1" applyFont="1" applyBorder="1"/>
    <xf numFmtId="0" fontId="0" fillId="0" borderId="1" xfId="0" applyBorder="1" applyAlignment="1">
      <alignment horizontal="right"/>
    </xf>
    <xf numFmtId="3" fontId="0" fillId="0" borderId="1" xfId="0" applyNumberFormat="1" applyBorder="1"/>
    <xf numFmtId="41" fontId="0" fillId="0" borderId="0" xfId="8" applyFont="1"/>
    <xf numFmtId="0" fontId="10" fillId="15" borderId="1" xfId="0" applyFont="1" applyFill="1" applyBorder="1" applyAlignment="1">
      <alignment horizontal="center" vertical="center" wrapText="1"/>
    </xf>
    <xf numFmtId="172" fontId="1" fillId="0" borderId="0" xfId="3" applyNumberFormat="1" applyFont="1" applyBorder="1"/>
    <xf numFmtId="41" fontId="1" fillId="0" borderId="1" xfId="8" applyFont="1" applyBorder="1"/>
    <xf numFmtId="41" fontId="1" fillId="0" borderId="6" xfId="8" applyFont="1" applyBorder="1"/>
    <xf numFmtId="9" fontId="18" fillId="0" borderId="0" xfId="0" applyNumberFormat="1" applyFont="1" applyAlignment="1">
      <alignment horizontal="center"/>
    </xf>
    <xf numFmtId="17" fontId="19" fillId="0" borderId="0" xfId="0" applyNumberFormat="1" applyFont="1"/>
    <xf numFmtId="3" fontId="1" fillId="0" borderId="1" xfId="3" applyNumberFormat="1" applyFont="1" applyFill="1" applyBorder="1"/>
    <xf numFmtId="3" fontId="1" fillId="0" borderId="15" xfId="3" applyNumberFormat="1" applyFont="1" applyFill="1" applyBorder="1"/>
    <xf numFmtId="172" fontId="1" fillId="0" borderId="19" xfId="3" applyNumberFormat="1" applyFont="1" applyBorder="1"/>
    <xf numFmtId="3" fontId="0" fillId="0" borderId="9" xfId="0" applyNumberFormat="1" applyBorder="1"/>
    <xf numFmtId="3" fontId="0" fillId="0" borderId="10" xfId="0" applyNumberFormat="1" applyBorder="1"/>
    <xf numFmtId="3" fontId="26" fillId="0" borderId="0" xfId="0" applyNumberFormat="1" applyFont="1"/>
    <xf numFmtId="0" fontId="20" fillId="16" borderId="1" xfId="0" applyFont="1" applyFill="1" applyBorder="1" applyAlignment="1">
      <alignment horizontal="center" vertical="center"/>
    </xf>
    <xf numFmtId="10" fontId="0" fillId="0" borderId="1" xfId="4" applyNumberFormat="1" applyFont="1" applyBorder="1"/>
    <xf numFmtId="176" fontId="21" fillId="0" borderId="1" xfId="4" applyNumberFormat="1" applyFont="1" applyBorder="1"/>
    <xf numFmtId="166" fontId="6" fillId="0" borderId="1" xfId="3" applyNumberFormat="1" applyFont="1" applyFill="1" applyBorder="1"/>
    <xf numFmtId="0" fontId="6" fillId="0" borderId="11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172" fontId="10" fillId="2" borderId="6" xfId="3" applyNumberFormat="1" applyFont="1" applyFill="1" applyBorder="1"/>
    <xf numFmtId="172" fontId="10" fillId="2" borderId="9" xfId="3" applyNumberFormat="1" applyFont="1" applyFill="1" applyBorder="1"/>
    <xf numFmtId="172" fontId="10" fillId="7" borderId="6" xfId="3" applyNumberFormat="1" applyFont="1" applyFill="1" applyBorder="1"/>
    <xf numFmtId="172" fontId="10" fillId="7" borderId="9" xfId="3" applyNumberFormat="1" applyFont="1" applyFill="1" applyBorder="1"/>
    <xf numFmtId="166" fontId="19" fillId="0" borderId="0" xfId="0" applyNumberFormat="1" applyFont="1"/>
    <xf numFmtId="172" fontId="10" fillId="14" borderId="6" xfId="3" applyNumberFormat="1" applyFont="1" applyFill="1" applyBorder="1"/>
    <xf numFmtId="0" fontId="6" fillId="16" borderId="1" xfId="0" applyFont="1" applyFill="1" applyBorder="1" applyAlignment="1">
      <alignment horizontal="center" vertical="center" wrapText="1"/>
    </xf>
    <xf numFmtId="172" fontId="6" fillId="16" borderId="6" xfId="3" applyNumberFormat="1" applyFont="1" applyFill="1" applyBorder="1"/>
    <xf numFmtId="172" fontId="6" fillId="16" borderId="26" xfId="3" applyNumberFormat="1" applyFont="1" applyFill="1" applyBorder="1"/>
    <xf numFmtId="166" fontId="6" fillId="16" borderId="9" xfId="3" applyNumberFormat="1" applyFont="1" applyFill="1" applyBorder="1"/>
    <xf numFmtId="172" fontId="10" fillId="18" borderId="6" xfId="3" applyNumberFormat="1" applyFont="1" applyFill="1" applyBorder="1"/>
    <xf numFmtId="172" fontId="10" fillId="18" borderId="9" xfId="3" applyNumberFormat="1" applyFont="1" applyFill="1" applyBorder="1"/>
    <xf numFmtId="0" fontId="6" fillId="18" borderId="1" xfId="0" applyFont="1" applyFill="1" applyBorder="1" applyAlignment="1">
      <alignment horizontal="center" vertical="center" wrapText="1"/>
    </xf>
    <xf numFmtId="0" fontId="4" fillId="19" borderId="1" xfId="0" applyFont="1" applyFill="1" applyBorder="1" applyAlignment="1">
      <alignment horizontal="center" vertical="top" wrapText="1"/>
    </xf>
    <xf numFmtId="0" fontId="4" fillId="6" borderId="1" xfId="1" applyFont="1" applyFill="1" applyBorder="1" applyAlignment="1">
      <alignment horizontal="center" vertical="top" wrapText="1"/>
    </xf>
    <xf numFmtId="166" fontId="2" fillId="6" borderId="1" xfId="3" applyNumberFormat="1" applyFont="1" applyFill="1" applyBorder="1" applyAlignment="1">
      <alignment horizontal="center"/>
    </xf>
    <xf numFmtId="172" fontId="2" fillId="6" borderId="1" xfId="3" applyNumberFormat="1" applyFont="1" applyFill="1" applyBorder="1" applyAlignment="1">
      <alignment horizontal="center"/>
    </xf>
    <xf numFmtId="0" fontId="2" fillId="6" borderId="1" xfId="0" applyFont="1" applyFill="1" applyBorder="1"/>
    <xf numFmtId="0" fontId="6" fillId="6" borderId="1" xfId="0" applyFont="1" applyFill="1" applyBorder="1" applyAlignment="1">
      <alignment wrapText="1"/>
    </xf>
    <xf numFmtId="49" fontId="27" fillId="0" borderId="0" xfId="0" applyNumberFormat="1" applyFont="1"/>
    <xf numFmtId="4" fontId="0" fillId="0" borderId="1" xfId="0" applyNumberFormat="1" applyBorder="1"/>
    <xf numFmtId="0" fontId="6" fillId="9" borderId="7" xfId="0" applyFont="1" applyFill="1" applyBorder="1" applyAlignment="1">
      <alignment horizontal="center" vertical="center" wrapText="1"/>
    </xf>
    <xf numFmtId="0" fontId="6" fillId="9" borderId="6" xfId="0" applyFont="1" applyFill="1" applyBorder="1" applyAlignment="1">
      <alignment horizontal="center" vertical="center" wrapText="1"/>
    </xf>
    <xf numFmtId="0" fontId="6" fillId="14" borderId="13" xfId="0" applyFont="1" applyFill="1" applyBorder="1" applyAlignment="1">
      <alignment horizontal="center" vertical="center"/>
    </xf>
    <xf numFmtId="0" fontId="6" fillId="14" borderId="15" xfId="0" applyFont="1" applyFill="1" applyBorder="1" applyAlignment="1">
      <alignment horizontal="center" vertical="center"/>
    </xf>
    <xf numFmtId="0" fontId="6" fillId="14" borderId="16" xfId="0" applyFont="1" applyFill="1" applyBorder="1" applyAlignment="1">
      <alignment horizontal="center" vertical="center"/>
    </xf>
    <xf numFmtId="0" fontId="6" fillId="9" borderId="25" xfId="0" applyFont="1" applyFill="1" applyBorder="1" applyAlignment="1">
      <alignment horizontal="center" vertical="center" wrapText="1"/>
    </xf>
    <xf numFmtId="0" fontId="6" fillId="9" borderId="26" xfId="0" applyFont="1" applyFill="1" applyBorder="1" applyAlignment="1">
      <alignment horizontal="center" vertical="center" wrapText="1"/>
    </xf>
    <xf numFmtId="0" fontId="6" fillId="9" borderId="24" xfId="0" applyFont="1" applyFill="1" applyBorder="1" applyAlignment="1">
      <alignment horizontal="center" vertical="center" wrapText="1"/>
    </xf>
    <xf numFmtId="0" fontId="6" fillId="14" borderId="25" xfId="0" applyFont="1" applyFill="1" applyBorder="1" applyAlignment="1">
      <alignment horizontal="center" vertical="center" wrapText="1"/>
    </xf>
    <xf numFmtId="0" fontId="6" fillId="14" borderId="26" xfId="0" applyFont="1" applyFill="1" applyBorder="1" applyAlignment="1">
      <alignment horizontal="center" vertical="center" wrapText="1"/>
    </xf>
    <xf numFmtId="0" fontId="6" fillId="14" borderId="24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/>
    </xf>
    <xf numFmtId="0" fontId="6" fillId="7" borderId="25" xfId="0" applyFont="1" applyFill="1" applyBorder="1" applyAlignment="1">
      <alignment horizontal="center" vertical="center" wrapText="1"/>
    </xf>
    <xf numFmtId="0" fontId="6" fillId="7" borderId="26" xfId="0" applyFont="1" applyFill="1" applyBorder="1" applyAlignment="1">
      <alignment horizontal="center" vertical="center" wrapText="1"/>
    </xf>
    <xf numFmtId="0" fontId="6" fillId="7" borderId="24" xfId="0" applyFont="1" applyFill="1" applyBorder="1" applyAlignment="1">
      <alignment horizontal="center" vertical="center" wrapText="1"/>
    </xf>
    <xf numFmtId="0" fontId="6" fillId="14" borderId="12" xfId="0" applyFont="1" applyFill="1" applyBorder="1" applyAlignment="1">
      <alignment horizontal="center" vertical="center" wrapText="1"/>
    </xf>
    <xf numFmtId="0" fontId="6" fillId="14" borderId="1" xfId="0" applyFont="1" applyFill="1" applyBorder="1" applyAlignment="1">
      <alignment horizontal="center" vertical="center" wrapText="1"/>
    </xf>
    <xf numFmtId="0" fontId="6" fillId="14" borderId="20" xfId="0" applyFont="1" applyFill="1" applyBorder="1" applyAlignment="1">
      <alignment horizontal="center" vertical="center" wrapText="1"/>
    </xf>
    <xf numFmtId="0" fontId="6" fillId="7" borderId="22" xfId="0" applyFont="1" applyFill="1" applyBorder="1" applyAlignment="1">
      <alignment horizontal="center" vertical="center"/>
    </xf>
    <xf numFmtId="0" fontId="6" fillId="7" borderId="27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/>
    </xf>
    <xf numFmtId="0" fontId="6" fillId="7" borderId="23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/>
    </xf>
    <xf numFmtId="0" fontId="13" fillId="15" borderId="2" xfId="0" applyFont="1" applyFill="1" applyBorder="1" applyAlignment="1">
      <alignment horizontal="center" vertical="center" wrapText="1"/>
    </xf>
    <xf numFmtId="0" fontId="13" fillId="15" borderId="23" xfId="0" applyFont="1" applyFill="1" applyBorder="1" applyAlignment="1">
      <alignment horizontal="center" vertical="center" wrapText="1"/>
    </xf>
    <xf numFmtId="0" fontId="13" fillId="15" borderId="4" xfId="0" applyFont="1" applyFill="1" applyBorder="1" applyAlignment="1">
      <alignment horizontal="center" vertical="center" wrapText="1"/>
    </xf>
    <xf numFmtId="0" fontId="13" fillId="17" borderId="2" xfId="0" applyFont="1" applyFill="1" applyBorder="1" applyAlignment="1">
      <alignment horizontal="center" vertical="center" wrapText="1"/>
    </xf>
    <xf numFmtId="0" fontId="13" fillId="17" borderId="28" xfId="0" applyFont="1" applyFill="1" applyBorder="1" applyAlignment="1">
      <alignment horizontal="center" vertical="center" wrapText="1"/>
    </xf>
    <xf numFmtId="0" fontId="13" fillId="17" borderId="29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16" borderId="1" xfId="0" applyFont="1" applyFill="1" applyBorder="1" applyAlignment="1">
      <alignment horizontal="center" vertical="center" wrapText="1"/>
    </xf>
    <xf numFmtId="0" fontId="6" fillId="16" borderId="20" xfId="0" applyFont="1" applyFill="1" applyBorder="1" applyAlignment="1">
      <alignment horizontal="center" vertical="center" wrapText="1"/>
    </xf>
    <xf numFmtId="0" fontId="6" fillId="18" borderId="7" xfId="0" applyFont="1" applyFill="1" applyBorder="1" applyAlignment="1">
      <alignment horizontal="center" vertical="center" wrapText="1"/>
    </xf>
    <xf numFmtId="0" fontId="6" fillId="18" borderId="2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3" fillId="16" borderId="32" xfId="0" applyFont="1" applyFill="1" applyBorder="1" applyAlignment="1">
      <alignment horizontal="center" vertical="center" wrapText="1"/>
    </xf>
    <xf numFmtId="0" fontId="13" fillId="16" borderId="33" xfId="0" applyFont="1" applyFill="1" applyBorder="1" applyAlignment="1">
      <alignment horizontal="center" vertical="center" wrapText="1"/>
    </xf>
    <xf numFmtId="0" fontId="13" fillId="16" borderId="34" xfId="0" applyFont="1" applyFill="1" applyBorder="1" applyAlignment="1">
      <alignment horizontal="center" vertical="center" wrapText="1"/>
    </xf>
    <xf numFmtId="0" fontId="13" fillId="16" borderId="35" xfId="0" applyFont="1" applyFill="1" applyBorder="1" applyAlignment="1">
      <alignment horizontal="center" vertical="center" wrapText="1"/>
    </xf>
    <xf numFmtId="0" fontId="13" fillId="16" borderId="36" xfId="0" applyFont="1" applyFill="1" applyBorder="1" applyAlignment="1">
      <alignment horizontal="center" vertical="center" wrapText="1"/>
    </xf>
    <xf numFmtId="0" fontId="13" fillId="16" borderId="37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/>
    </xf>
    <xf numFmtId="0" fontId="6" fillId="6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/>
    </xf>
    <xf numFmtId="0" fontId="6" fillId="2" borderId="2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4" fontId="1" fillId="6" borderId="14" xfId="0" applyNumberFormat="1" applyFont="1" applyFill="1" applyBorder="1"/>
    <xf numFmtId="4" fontId="1" fillId="6" borderId="15" xfId="0" applyNumberFormat="1" applyFont="1" applyFill="1" applyBorder="1"/>
    <xf numFmtId="4" fontId="1" fillId="6" borderId="8" xfId="0" applyNumberFormat="1" applyFont="1" applyFill="1" applyBorder="1"/>
    <xf numFmtId="4" fontId="1" fillId="6" borderId="10" xfId="0" applyNumberFormat="1" applyFont="1" applyFill="1" applyBorder="1"/>
    <xf numFmtId="10" fontId="0" fillId="0" borderId="0" xfId="4" applyNumberFormat="1" applyFont="1" applyFill="1"/>
    <xf numFmtId="0" fontId="0" fillId="0" borderId="0" xfId="0" applyFill="1"/>
  </cellXfs>
  <cellStyles count="9">
    <cellStyle name="Millares" xfId="3" builtinId="3"/>
    <cellStyle name="Millares [0]" xfId="8" builtinId="6"/>
    <cellStyle name="Millares 2" xfId="2" xr:uid="{00000000-0005-0000-0000-000001000000}"/>
    <cellStyle name="Millares 3" xfId="6" xr:uid="{00000000-0005-0000-0000-000031000000}"/>
    <cellStyle name="Normal" xfId="0" builtinId="0"/>
    <cellStyle name="Normal 2" xfId="1" xr:uid="{00000000-0005-0000-0000-000003000000}"/>
    <cellStyle name="Normal 3" xfId="5" xr:uid="{00000000-0005-0000-0000-000032000000}"/>
    <cellStyle name="Porcentaje" xfId="4" builtinId="5"/>
    <cellStyle name="Porcentaje 2" xfId="7" xr:uid="{00000000-0005-0000-0000-000033000000}"/>
  </cellStyles>
  <dxfs count="0"/>
  <tableStyles count="0" defaultTableStyle="TableStyleMedium2" defaultPivotStyle="PivotStyleLight16"/>
  <colors>
    <mruColors>
      <color rgb="FF4FD1FF"/>
      <color rgb="FF21C5FF"/>
      <color rgb="FFFFFFCC"/>
      <color rgb="FFFFFF99"/>
      <color rgb="FF0066FF"/>
      <color rgb="FFE9F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COMPLEJIDAD!&#193;rea_de_impresi&#243;n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COMPLEJIDAD!&#193;rea_de_impresi&#243;n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COMPLEJIDAD!&#193;rea_de_impresi&#243;n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COMPLEJIDAD!&#193;rea_de_impresi&#243;n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COMPLEJIDAD!&#193;rea_de_impresi&#243;n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COMPLEJIDAD!&#193;rea_de_impresi&#243;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1217083</xdr:colOff>
      <xdr:row>0</xdr:row>
      <xdr:rowOff>1093813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03E6A71-4CBA-66EA-49C9-D2FF1692CD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17083" cy="11014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35718</xdr:rowOff>
    </xdr:from>
    <xdr:to>
      <xdr:col>0</xdr:col>
      <xdr:colOff>1319212</xdr:colOff>
      <xdr:row>0</xdr:row>
      <xdr:rowOff>1188243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F741E24-C099-44DF-874E-ED2C93773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5718"/>
          <a:ext cx="1271587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71437</xdr:colOff>
      <xdr:row>0</xdr:row>
      <xdr:rowOff>47625</xdr:rowOff>
    </xdr:from>
    <xdr:to>
      <xdr:col>0</xdr:col>
      <xdr:colOff>1288520</xdr:colOff>
      <xdr:row>0</xdr:row>
      <xdr:rowOff>1141438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9E42B5E-3246-4A3C-8262-147A4E2941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1437" y="47625"/>
          <a:ext cx="1217083" cy="109381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31751</xdr:colOff>
      <xdr:row>1</xdr:row>
      <xdr:rowOff>21167</xdr:rowOff>
    </xdr:from>
    <xdr:to>
      <xdr:col>7</xdr:col>
      <xdr:colOff>338669</xdr:colOff>
      <xdr:row>2</xdr:row>
      <xdr:rowOff>254000</xdr:rowOff>
    </xdr:to>
    <xdr:sp macro="" textlink="">
      <xdr:nvSpPr>
        <xdr:cNvPr id="3" name="Rectángulo: esquinas redondeada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93A50F-A90B-689C-BD10-8B7FFAC4D6CC}"/>
            </a:ext>
          </a:extLst>
        </xdr:cNvPr>
        <xdr:cNvSpPr/>
      </xdr:nvSpPr>
      <xdr:spPr>
        <a:xfrm>
          <a:off x="7196668" y="211667"/>
          <a:ext cx="1068918" cy="423333"/>
        </a:xfrm>
        <a:prstGeom prst="roundRect">
          <a:avLst/>
        </a:prstGeom>
        <a:ln>
          <a:solidFill>
            <a:srgbClr val="00B05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L" sz="900"/>
            <a:t>Volver a</a:t>
          </a:r>
        </a:p>
        <a:p>
          <a:pPr algn="ctr"/>
          <a:r>
            <a:rPr lang="es-CL" sz="900"/>
            <a:t>COMPLEJIDAD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52917</xdr:colOff>
      <xdr:row>1</xdr:row>
      <xdr:rowOff>52917</xdr:rowOff>
    </xdr:from>
    <xdr:to>
      <xdr:col>13</xdr:col>
      <xdr:colOff>359835</xdr:colOff>
      <xdr:row>2</xdr:row>
      <xdr:rowOff>285750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C2CC4B-8DAB-490E-A5A0-4D9A3E1D6F6C}"/>
            </a:ext>
          </a:extLst>
        </xdr:cNvPr>
        <xdr:cNvSpPr/>
      </xdr:nvSpPr>
      <xdr:spPr>
        <a:xfrm>
          <a:off x="12192000" y="243417"/>
          <a:ext cx="1068918" cy="423333"/>
        </a:xfrm>
        <a:prstGeom prst="roundRect">
          <a:avLst/>
        </a:prstGeom>
        <a:ln>
          <a:solidFill>
            <a:srgbClr val="00B05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L" sz="900"/>
            <a:t>Volver a</a:t>
          </a:r>
        </a:p>
        <a:p>
          <a:pPr algn="ctr"/>
          <a:r>
            <a:rPr lang="es-CL" sz="900"/>
            <a:t>COMPLEJIDAD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52916</xdr:colOff>
      <xdr:row>1</xdr:row>
      <xdr:rowOff>42333</xdr:rowOff>
    </xdr:from>
    <xdr:to>
      <xdr:col>7</xdr:col>
      <xdr:colOff>359834</xdr:colOff>
      <xdr:row>2</xdr:row>
      <xdr:rowOff>275166</xdr:rowOff>
    </xdr:to>
    <xdr:sp macro="" textlink="">
      <xdr:nvSpPr>
        <xdr:cNvPr id="3" name="Rectángulo: esquinas redondeada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A44F75-653F-45F6-8205-ACE72A73862E}"/>
            </a:ext>
          </a:extLst>
        </xdr:cNvPr>
        <xdr:cNvSpPr/>
      </xdr:nvSpPr>
      <xdr:spPr>
        <a:xfrm>
          <a:off x="7249583" y="232833"/>
          <a:ext cx="1068918" cy="423333"/>
        </a:xfrm>
        <a:prstGeom prst="roundRect">
          <a:avLst/>
        </a:prstGeom>
        <a:ln>
          <a:solidFill>
            <a:srgbClr val="00B05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L" sz="900"/>
            <a:t>Volver a</a:t>
          </a:r>
        </a:p>
        <a:p>
          <a:pPr algn="ctr"/>
          <a:r>
            <a:rPr lang="es-CL" sz="900"/>
            <a:t>COMPLEJIDAD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52916</xdr:colOff>
      <xdr:row>1</xdr:row>
      <xdr:rowOff>31750</xdr:rowOff>
    </xdr:from>
    <xdr:to>
      <xdr:col>7</xdr:col>
      <xdr:colOff>359834</xdr:colOff>
      <xdr:row>2</xdr:row>
      <xdr:rowOff>264583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69F25D-9FFB-4FEE-94D9-EE079787F809}"/>
            </a:ext>
          </a:extLst>
        </xdr:cNvPr>
        <xdr:cNvSpPr/>
      </xdr:nvSpPr>
      <xdr:spPr>
        <a:xfrm>
          <a:off x="7313083" y="222250"/>
          <a:ext cx="1068918" cy="423333"/>
        </a:xfrm>
        <a:prstGeom prst="roundRect">
          <a:avLst/>
        </a:prstGeom>
        <a:ln>
          <a:solidFill>
            <a:srgbClr val="00B05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L" sz="900"/>
            <a:t>Volver a</a:t>
          </a:r>
        </a:p>
        <a:p>
          <a:pPr algn="ctr"/>
          <a:r>
            <a:rPr lang="es-CL" sz="900"/>
            <a:t>COMPLEJIDAD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42334</xdr:colOff>
      <xdr:row>1</xdr:row>
      <xdr:rowOff>31750</xdr:rowOff>
    </xdr:from>
    <xdr:to>
      <xdr:col>7</xdr:col>
      <xdr:colOff>349252</xdr:colOff>
      <xdr:row>2</xdr:row>
      <xdr:rowOff>264583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C7423C-4C95-4DDD-9F7C-CB4484AACD7B}"/>
            </a:ext>
          </a:extLst>
        </xdr:cNvPr>
        <xdr:cNvSpPr/>
      </xdr:nvSpPr>
      <xdr:spPr>
        <a:xfrm>
          <a:off x="7228417" y="222250"/>
          <a:ext cx="1068918" cy="423333"/>
        </a:xfrm>
        <a:prstGeom prst="roundRect">
          <a:avLst/>
        </a:prstGeom>
        <a:ln>
          <a:solidFill>
            <a:srgbClr val="00B05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L" sz="900"/>
            <a:t>Volver a</a:t>
          </a:r>
        </a:p>
        <a:p>
          <a:pPr algn="ctr"/>
          <a:r>
            <a:rPr lang="es-CL" sz="900"/>
            <a:t>COMPLEJIDAD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63500</xdr:colOff>
      <xdr:row>1</xdr:row>
      <xdr:rowOff>42334</xdr:rowOff>
    </xdr:from>
    <xdr:to>
      <xdr:col>7</xdr:col>
      <xdr:colOff>370418</xdr:colOff>
      <xdr:row>2</xdr:row>
      <xdr:rowOff>275167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5CD31E-3D28-4CE2-A1A4-49E2A6872AAD}"/>
            </a:ext>
          </a:extLst>
        </xdr:cNvPr>
        <xdr:cNvSpPr/>
      </xdr:nvSpPr>
      <xdr:spPr>
        <a:xfrm>
          <a:off x="7207250" y="232834"/>
          <a:ext cx="1068918" cy="423333"/>
        </a:xfrm>
        <a:prstGeom prst="roundRect">
          <a:avLst/>
        </a:prstGeom>
        <a:ln>
          <a:solidFill>
            <a:srgbClr val="00B05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L" sz="900"/>
            <a:t>Volver a</a:t>
          </a:r>
        </a:p>
        <a:p>
          <a:pPr algn="ctr"/>
          <a:r>
            <a:rPr lang="es-CL" sz="900"/>
            <a:t>COMPLEJIDAD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Z39"/>
  <sheetViews>
    <sheetView tabSelected="1" zoomScale="80" zoomScaleNormal="80" workbookViewId="0">
      <selection activeCell="G38" sqref="G38"/>
    </sheetView>
  </sheetViews>
  <sheetFormatPr baseColWidth="10" defaultRowHeight="14.5" x14ac:dyDescent="0.35"/>
  <cols>
    <col min="1" max="1" width="48" customWidth="1"/>
    <col min="2" max="2" width="13.1796875" customWidth="1"/>
    <col min="3" max="3" width="19.1796875" customWidth="1"/>
    <col min="4" max="4" width="14.54296875" customWidth="1"/>
    <col min="5" max="5" width="13.81640625" customWidth="1"/>
    <col min="6" max="6" width="14.453125" customWidth="1"/>
    <col min="7" max="7" width="14.7265625" customWidth="1"/>
    <col min="8" max="8" width="14.1796875" customWidth="1"/>
    <col min="9" max="9" width="13.26953125" customWidth="1"/>
    <col min="10" max="10" width="14.54296875" customWidth="1"/>
    <col min="11" max="11" width="16" customWidth="1"/>
    <col min="12" max="12" width="13.453125" customWidth="1"/>
    <col min="13" max="13" width="15.26953125" customWidth="1"/>
    <col min="14" max="14" width="8" customWidth="1"/>
    <col min="15" max="15" width="16.26953125" customWidth="1"/>
    <col min="16" max="17" width="14" customWidth="1"/>
    <col min="18" max="18" width="16.26953125" customWidth="1"/>
    <col min="19" max="20" width="14" customWidth="1"/>
    <col min="21" max="21" width="5.54296875" customWidth="1"/>
    <col min="22" max="22" width="7.7265625" customWidth="1"/>
    <col min="23" max="23" width="29.453125" bestFit="1" customWidth="1"/>
    <col min="25" max="25" width="15.26953125" customWidth="1"/>
    <col min="26" max="26" width="14.453125" customWidth="1"/>
  </cols>
  <sheetData>
    <row r="1" spans="1:26" ht="92.25" customHeight="1" x14ac:dyDescent="0.35"/>
    <row r="2" spans="1:26" ht="19.5" x14ac:dyDescent="0.45">
      <c r="A2" s="185" t="s">
        <v>161</v>
      </c>
    </row>
    <row r="3" spans="1:26" ht="19.5" x14ac:dyDescent="0.45">
      <c r="A3" s="130" t="s">
        <v>147</v>
      </c>
    </row>
    <row r="4" spans="1:26" ht="19.5" x14ac:dyDescent="0.45">
      <c r="A4" s="130" t="s">
        <v>143</v>
      </c>
    </row>
    <row r="5" spans="1:26" ht="17" x14ac:dyDescent="0.4">
      <c r="A5" s="64" t="s">
        <v>119</v>
      </c>
    </row>
    <row r="6" spans="1:26" x14ac:dyDescent="0.35">
      <c r="A6" t="s">
        <v>209</v>
      </c>
    </row>
    <row r="7" spans="1:26" x14ac:dyDescent="0.35">
      <c r="A7" s="230" t="s">
        <v>228</v>
      </c>
      <c r="B7" s="15"/>
    </row>
    <row r="8" spans="1:26" ht="6.75" customHeight="1" x14ac:dyDescent="0.35">
      <c r="A8" s="15"/>
      <c r="B8" s="15"/>
    </row>
    <row r="9" spans="1:26" ht="15" thickBot="1" x14ac:dyDescent="0.4">
      <c r="B9" s="150">
        <v>1</v>
      </c>
      <c r="C9" s="150">
        <v>2</v>
      </c>
      <c r="D9" s="150">
        <v>3</v>
      </c>
      <c r="E9" s="150">
        <v>4</v>
      </c>
      <c r="F9" s="150">
        <v>5</v>
      </c>
      <c r="G9" s="150">
        <v>6</v>
      </c>
      <c r="H9" s="150">
        <v>7</v>
      </c>
      <c r="I9" s="150">
        <v>8</v>
      </c>
      <c r="J9" s="150">
        <v>9</v>
      </c>
      <c r="K9" s="150">
        <v>10</v>
      </c>
      <c r="L9" s="150">
        <v>11</v>
      </c>
      <c r="M9" s="150">
        <v>12</v>
      </c>
      <c r="N9" s="150">
        <v>13</v>
      </c>
      <c r="O9" s="150">
        <v>14</v>
      </c>
      <c r="P9" s="150">
        <v>15</v>
      </c>
      <c r="Q9" s="150">
        <v>16</v>
      </c>
      <c r="R9" s="150">
        <v>17</v>
      </c>
      <c r="S9" s="150">
        <v>18</v>
      </c>
      <c r="T9" s="150">
        <v>19</v>
      </c>
      <c r="U9" s="150"/>
    </row>
    <row r="10" spans="1:26" ht="17.25" customHeight="1" x14ac:dyDescent="0.35">
      <c r="A10" s="268" t="s">
        <v>8</v>
      </c>
      <c r="B10" s="271" t="s">
        <v>133</v>
      </c>
      <c r="C10" s="271" t="s">
        <v>16</v>
      </c>
      <c r="D10" s="274" t="s">
        <v>25</v>
      </c>
      <c r="E10" s="251" t="s">
        <v>116</v>
      </c>
      <c r="F10" s="252"/>
      <c r="G10" s="252"/>
      <c r="H10" s="252"/>
      <c r="I10" s="245" t="s">
        <v>62</v>
      </c>
      <c r="J10" s="237" t="s">
        <v>113</v>
      </c>
      <c r="K10" s="240" t="s">
        <v>206</v>
      </c>
      <c r="L10" s="248" t="s">
        <v>207</v>
      </c>
      <c r="M10" s="234" t="s">
        <v>72</v>
      </c>
      <c r="N10" s="263" t="s">
        <v>127</v>
      </c>
      <c r="O10" s="264"/>
      <c r="P10" s="264"/>
      <c r="Q10" s="264"/>
      <c r="R10" s="264"/>
      <c r="S10" s="264"/>
      <c r="T10" s="265"/>
    </row>
    <row r="11" spans="1:26" ht="15" customHeight="1" thickBot="1" x14ac:dyDescent="0.4">
      <c r="A11" s="269"/>
      <c r="B11" s="272"/>
      <c r="C11" s="272"/>
      <c r="D11" s="275"/>
      <c r="E11" s="243" t="s">
        <v>114</v>
      </c>
      <c r="F11" s="244"/>
      <c r="G11" s="277" t="s">
        <v>219</v>
      </c>
      <c r="H11" s="279" t="s">
        <v>220</v>
      </c>
      <c r="I11" s="246"/>
      <c r="J11" s="238"/>
      <c r="K11" s="241"/>
      <c r="L11" s="249"/>
      <c r="M11" s="235"/>
      <c r="N11" s="262" t="s">
        <v>133</v>
      </c>
      <c r="O11" s="256" t="s">
        <v>180</v>
      </c>
      <c r="P11" s="257"/>
      <c r="Q11" s="258"/>
      <c r="R11" s="259" t="s">
        <v>181</v>
      </c>
      <c r="S11" s="260"/>
      <c r="T11" s="261"/>
    </row>
    <row r="12" spans="1:26" ht="65.5" thickBot="1" x14ac:dyDescent="0.4">
      <c r="A12" s="270"/>
      <c r="B12" s="273"/>
      <c r="C12" s="273"/>
      <c r="D12" s="276"/>
      <c r="E12" s="76" t="s">
        <v>61</v>
      </c>
      <c r="F12" s="76" t="s">
        <v>74</v>
      </c>
      <c r="G12" s="278"/>
      <c r="H12" s="280"/>
      <c r="I12" s="247"/>
      <c r="J12" s="239"/>
      <c r="K12" s="242"/>
      <c r="L12" s="250"/>
      <c r="M12" s="236"/>
      <c r="N12" s="262"/>
      <c r="O12" s="192" t="s">
        <v>225</v>
      </c>
      <c r="P12" s="136" t="s">
        <v>182</v>
      </c>
      <c r="Q12" s="110" t="s">
        <v>183</v>
      </c>
      <c r="R12" s="177" t="s">
        <v>184</v>
      </c>
      <c r="S12" s="183" t="s">
        <v>185</v>
      </c>
      <c r="T12" s="184" t="s">
        <v>186</v>
      </c>
      <c r="V12" s="140" t="s">
        <v>133</v>
      </c>
      <c r="W12" s="140" t="s">
        <v>134</v>
      </c>
      <c r="Y12" s="183" t="s">
        <v>226</v>
      </c>
      <c r="Z12" s="184" t="s">
        <v>227</v>
      </c>
    </row>
    <row r="13" spans="1:26" x14ac:dyDescent="0.35">
      <c r="A13" s="72" t="s">
        <v>9</v>
      </c>
      <c r="B13" s="81" t="s">
        <v>1</v>
      </c>
      <c r="C13" s="73" t="s">
        <v>17</v>
      </c>
      <c r="D13" s="73" t="str">
        <f>VLOOKUP(B13,Categorías!$B$5:$Z$13,25,0)</f>
        <v>Categoría I</v>
      </c>
      <c r="E13" s="74">
        <v>2471405</v>
      </c>
      <c r="F13" s="87">
        <f t="shared" ref="F13:F21" si="0">E13*(1+$B$39)</f>
        <v>2545547.15</v>
      </c>
      <c r="G13" s="218">
        <v>0</v>
      </c>
      <c r="H13" s="221">
        <f>VLOOKUP(B13,COMPLEJIDAD!$B$5:$J$13,9,0)</f>
        <v>4012659.875835659</v>
      </c>
      <c r="I13" s="213">
        <f>SUM(F13:H13)</f>
        <v>6558207.0258356594</v>
      </c>
      <c r="J13" s="90">
        <f>IFERROR(VLOOKUP(B13,'DESEMPEÑO (Indicadores)'!$B$4:$AH$12,33,0),0)</f>
        <v>4719355</v>
      </c>
      <c r="K13" s="121">
        <f>I13+J13</f>
        <v>11277562.025835659</v>
      </c>
      <c r="L13" s="216">
        <f>ROUND(K13,0)</f>
        <v>11277562</v>
      </c>
      <c r="M13" s="122">
        <f t="shared" ref="M13:M21" si="1">L13/$L$22</f>
        <v>0.21547476927082823</v>
      </c>
      <c r="N13" s="120" t="s">
        <v>1</v>
      </c>
      <c r="O13" s="181">
        <f>P13+Q13</f>
        <v>3306485</v>
      </c>
      <c r="P13" s="137">
        <f>VLOOKUP($N13,'Montos Anticipo BD 2025'!$B$12:$K$20,9,0)</f>
        <v>2677540</v>
      </c>
      <c r="Q13" s="137">
        <f>VLOOKUP($N13,'Montos Anticipo BD 2025'!$B$12:$K$20,10,0)</f>
        <v>628945</v>
      </c>
      <c r="R13" s="178">
        <f>+L13-O13</f>
        <v>7971077</v>
      </c>
      <c r="S13" s="295">
        <f>ROUND(R13*$B$32,0)</f>
        <v>6454854</v>
      </c>
      <c r="T13" s="296">
        <f>+R13-S13</f>
        <v>1516223</v>
      </c>
      <c r="U13" s="113">
        <f>+T13+S13-R13</f>
        <v>0</v>
      </c>
      <c r="V13" s="141" t="s">
        <v>1</v>
      </c>
      <c r="W13" s="141" t="s">
        <v>135</v>
      </c>
      <c r="Y13" s="231">
        <f>+P13+S13</f>
        <v>9132394</v>
      </c>
      <c r="Z13" s="231">
        <f>+Q13+T13</f>
        <v>2145168</v>
      </c>
    </row>
    <row r="14" spans="1:26" x14ac:dyDescent="0.35">
      <c r="A14" s="71" t="s">
        <v>10</v>
      </c>
      <c r="B14" s="82" t="s">
        <v>2</v>
      </c>
      <c r="C14" s="65" t="s">
        <v>17</v>
      </c>
      <c r="D14" s="73" t="str">
        <f>VLOOKUP(B14,Categorías!$B$5:$Z$13,25,0)</f>
        <v>Categoría I</v>
      </c>
      <c r="E14" s="37">
        <v>834829</v>
      </c>
      <c r="F14" s="88">
        <f t="shared" si="0"/>
        <v>859873.87</v>
      </c>
      <c r="G14" s="218">
        <v>0</v>
      </c>
      <c r="H14" s="221">
        <f>VLOOKUP(B14,COMPLEJIDAD!$B$5:$J$13,9,0)</f>
        <v>2815611.7031807229</v>
      </c>
      <c r="I14" s="213">
        <f t="shared" ref="I14:I21" si="2">SUM(F14:H14)</f>
        <v>3675485.573180723</v>
      </c>
      <c r="J14" s="91">
        <f>IFERROR(VLOOKUP(B14,'DESEMPEÑO (Indicadores)'!$B$4:$AH$12,33,0),0)</f>
        <v>4318119</v>
      </c>
      <c r="K14" s="121">
        <f t="shared" ref="K14:K21" si="3">I14+J14</f>
        <v>7993604.573180723</v>
      </c>
      <c r="L14" s="216">
        <f t="shared" ref="L14:L21" si="4">ROUND(K14,0)</f>
        <v>7993605</v>
      </c>
      <c r="M14" s="122">
        <f t="shared" si="1"/>
        <v>0.15272983584724595</v>
      </c>
      <c r="N14" s="120" t="s">
        <v>2</v>
      </c>
      <c r="O14" s="181">
        <f t="shared" ref="O14:O20" si="5">P14+Q14</f>
        <v>2433771</v>
      </c>
      <c r="P14" s="137">
        <f>VLOOKUP($N14,'Montos Anticipo BD 2025'!$B$12:$K$20,9,0)</f>
        <v>1970830</v>
      </c>
      <c r="Q14" s="137">
        <f>VLOOKUP($N14,'Montos Anticipo BD 2025'!$B$12:$K$20,10,0)</f>
        <v>462941</v>
      </c>
      <c r="R14" s="178">
        <f t="shared" ref="R14:R21" si="6">+L14-O14</f>
        <v>5559834</v>
      </c>
      <c r="S14" s="295">
        <f t="shared" ref="S14:S20" si="7">ROUND(R14*$B$32,0)</f>
        <v>4502267</v>
      </c>
      <c r="T14" s="296">
        <f t="shared" ref="T14:T21" si="8">+R14-S14</f>
        <v>1057567</v>
      </c>
      <c r="U14" s="113">
        <f t="shared" ref="U14:U22" si="9">+T14+S14-R14</f>
        <v>0</v>
      </c>
      <c r="V14" s="141" t="s">
        <v>2</v>
      </c>
      <c r="W14" s="141" t="s">
        <v>136</v>
      </c>
      <c r="Y14" s="231">
        <f t="shared" ref="Y14:Y22" si="10">+P14+S14</f>
        <v>6473097</v>
      </c>
      <c r="Z14" s="231">
        <f t="shared" ref="Z14:Z22" si="11">+Q14+T14</f>
        <v>1520508</v>
      </c>
    </row>
    <row r="15" spans="1:26" x14ac:dyDescent="0.35">
      <c r="A15" s="71" t="s">
        <v>11</v>
      </c>
      <c r="B15" s="82" t="s">
        <v>3</v>
      </c>
      <c r="C15" s="65" t="s">
        <v>17</v>
      </c>
      <c r="D15" s="73" t="str">
        <f>VLOOKUP(B15,Categorías!$B$5:$Z$13,25,0)</f>
        <v>Categoría I</v>
      </c>
      <c r="E15" s="37">
        <v>534276</v>
      </c>
      <c r="F15" s="88">
        <f t="shared" si="0"/>
        <v>550304.28</v>
      </c>
      <c r="G15" s="218">
        <v>0</v>
      </c>
      <c r="H15" s="221">
        <f>VLOOKUP(B15,COMPLEJIDAD!$B$5:$J$13,9,0)</f>
        <v>1766086.5974660139</v>
      </c>
      <c r="I15" s="213">
        <f t="shared" si="2"/>
        <v>2316390.8774660137</v>
      </c>
      <c r="J15" s="91">
        <f>IFERROR(VLOOKUP(B15,'DESEMPEÑO (Indicadores)'!$B$4:$AH$12,33,0),0)</f>
        <v>3900547</v>
      </c>
      <c r="K15" s="121">
        <f t="shared" si="3"/>
        <v>6216937.8774660137</v>
      </c>
      <c r="L15" s="216">
        <f t="shared" si="4"/>
        <v>6216938</v>
      </c>
      <c r="M15" s="122">
        <f t="shared" si="1"/>
        <v>0.11878394294095163</v>
      </c>
      <c r="N15" s="120" t="s">
        <v>3</v>
      </c>
      <c r="O15" s="181">
        <f t="shared" si="5"/>
        <v>1948373</v>
      </c>
      <c r="P15" s="137">
        <f>VLOOKUP($N15,'Montos Anticipo BD 2025'!$B$12:$K$20,9,0)</f>
        <v>1577762</v>
      </c>
      <c r="Q15" s="137">
        <f>VLOOKUP($N15,'Montos Anticipo BD 2025'!$B$12:$K$20,10,0)</f>
        <v>370611</v>
      </c>
      <c r="R15" s="178">
        <f t="shared" si="6"/>
        <v>4268565</v>
      </c>
      <c r="S15" s="295">
        <f t="shared" si="7"/>
        <v>3456618</v>
      </c>
      <c r="T15" s="296">
        <f t="shared" si="8"/>
        <v>811947</v>
      </c>
      <c r="U15" s="113">
        <f t="shared" si="9"/>
        <v>0</v>
      </c>
      <c r="V15" s="141" t="s">
        <v>3</v>
      </c>
      <c r="W15" s="141" t="s">
        <v>137</v>
      </c>
      <c r="Y15" s="231">
        <f t="shared" si="10"/>
        <v>5034380</v>
      </c>
      <c r="Z15" s="231">
        <f t="shared" si="11"/>
        <v>1182558</v>
      </c>
    </row>
    <row r="16" spans="1:26" x14ac:dyDescent="0.35">
      <c r="A16" s="71" t="s">
        <v>12</v>
      </c>
      <c r="B16" s="82" t="s">
        <v>4</v>
      </c>
      <c r="C16" s="65" t="s">
        <v>17</v>
      </c>
      <c r="D16" s="73" t="str">
        <f>VLOOKUP(B16,Categorías!$B$5:$Z$13,25,0)</f>
        <v>Categoría I</v>
      </c>
      <c r="E16" s="37">
        <v>308805</v>
      </c>
      <c r="F16" s="88">
        <f t="shared" si="0"/>
        <v>318069.15000000002</v>
      </c>
      <c r="G16" s="218">
        <v>50000</v>
      </c>
      <c r="H16" s="221">
        <f>VLOOKUP(B16,COMPLEJIDAD!$B$5:$J$13,9,0)</f>
        <v>1643008.8190205339</v>
      </c>
      <c r="I16" s="213">
        <f t="shared" si="2"/>
        <v>2011077.9690205338</v>
      </c>
      <c r="J16" s="91">
        <f>IFERROR(VLOOKUP(B16,'DESEMPEÑO (Indicadores)'!$B$4:$AH$12,33,0),0)</f>
        <v>3559621</v>
      </c>
      <c r="K16" s="121">
        <f t="shared" si="3"/>
        <v>5570698.9690205343</v>
      </c>
      <c r="L16" s="216">
        <f t="shared" si="4"/>
        <v>5570699</v>
      </c>
      <c r="M16" s="122">
        <f t="shared" si="1"/>
        <v>0.10643657571576494</v>
      </c>
      <c r="N16" s="120" t="s">
        <v>4</v>
      </c>
      <c r="O16" s="181">
        <f t="shared" si="5"/>
        <v>1839167</v>
      </c>
      <c r="P16" s="137">
        <f>VLOOKUP($N16,'Montos Anticipo BD 2025'!$B$12:$K$20,9,0)</f>
        <v>1489329</v>
      </c>
      <c r="Q16" s="137">
        <f>VLOOKUP($N16,'Montos Anticipo BD 2025'!$B$12:$K$20,10,0)</f>
        <v>349838</v>
      </c>
      <c r="R16" s="178">
        <f t="shared" si="6"/>
        <v>3731532</v>
      </c>
      <c r="S16" s="295">
        <f t="shared" si="7"/>
        <v>3021737</v>
      </c>
      <c r="T16" s="296">
        <f t="shared" si="8"/>
        <v>709795</v>
      </c>
      <c r="U16" s="113">
        <f t="shared" si="9"/>
        <v>0</v>
      </c>
      <c r="V16" s="141" t="s">
        <v>4</v>
      </c>
      <c r="W16" s="141" t="s">
        <v>138</v>
      </c>
      <c r="Y16" s="231">
        <f t="shared" si="10"/>
        <v>4511066</v>
      </c>
      <c r="Z16" s="231">
        <f t="shared" si="11"/>
        <v>1059633</v>
      </c>
    </row>
    <row r="17" spans="1:26" x14ac:dyDescent="0.35">
      <c r="A17" s="71" t="s">
        <v>13</v>
      </c>
      <c r="B17" s="82" t="s">
        <v>5</v>
      </c>
      <c r="C17" s="65" t="s">
        <v>17</v>
      </c>
      <c r="D17" s="73" t="str">
        <f>VLOOKUP(B17,Categorías!$B$5:$Z$13,25,0)</f>
        <v>Categoría II</v>
      </c>
      <c r="E17" s="37">
        <v>796618</v>
      </c>
      <c r="F17" s="88">
        <f t="shared" si="0"/>
        <v>820516.54</v>
      </c>
      <c r="G17" s="218">
        <v>0</v>
      </c>
      <c r="H17" s="221">
        <f>VLOOKUP(B17,COMPLEJIDAD!$B$5:$J$13,9,0)</f>
        <v>1378904.1635222372</v>
      </c>
      <c r="I17" s="213">
        <f t="shared" si="2"/>
        <v>2199420.703522237</v>
      </c>
      <c r="J17" s="91">
        <f>IFERROR(VLOOKUP(B17,'DESEMPEÑO (Indicadores)'!$B$4:$AH$12,33,0),0)</f>
        <v>2824221</v>
      </c>
      <c r="K17" s="121">
        <f t="shared" si="3"/>
        <v>5023641.703522237</v>
      </c>
      <c r="L17" s="216">
        <f t="shared" si="4"/>
        <v>5023642</v>
      </c>
      <c r="M17" s="122">
        <f t="shared" si="1"/>
        <v>9.5984229645489152E-2</v>
      </c>
      <c r="N17" s="120" t="s">
        <v>5</v>
      </c>
      <c r="O17" s="181">
        <f>P17+Q17</f>
        <v>1581188</v>
      </c>
      <c r="P17" s="137">
        <f>VLOOKUP($N17,'Montos Anticipo BD 2025'!$B$12:$K$20,9,0)</f>
        <v>1280421</v>
      </c>
      <c r="Q17" s="137">
        <f>VLOOKUP($N17,'Montos Anticipo BD 2025'!$B$12:$K$20,10,0)</f>
        <v>300767</v>
      </c>
      <c r="R17" s="178">
        <f t="shared" si="6"/>
        <v>3442454</v>
      </c>
      <c r="S17" s="295">
        <f t="shared" si="7"/>
        <v>2787646</v>
      </c>
      <c r="T17" s="296">
        <f t="shared" si="8"/>
        <v>654808</v>
      </c>
      <c r="U17" s="113">
        <f t="shared" si="9"/>
        <v>0</v>
      </c>
      <c r="V17" s="141" t="s">
        <v>5</v>
      </c>
      <c r="W17" s="141" t="s">
        <v>137</v>
      </c>
      <c r="Y17" s="231">
        <f t="shared" si="10"/>
        <v>4068067</v>
      </c>
      <c r="Z17" s="231">
        <f t="shared" si="11"/>
        <v>955575</v>
      </c>
    </row>
    <row r="18" spans="1:26" x14ac:dyDescent="0.35">
      <c r="A18" s="71" t="s">
        <v>14</v>
      </c>
      <c r="B18" s="82" t="s">
        <v>6</v>
      </c>
      <c r="C18" s="65" t="s">
        <v>17</v>
      </c>
      <c r="D18" s="73" t="str">
        <f>VLOOKUP(B18,Categorías!$B$5:$Z$13,25,0)</f>
        <v>Categoría I</v>
      </c>
      <c r="E18" s="37">
        <v>189862</v>
      </c>
      <c r="F18" s="88">
        <f t="shared" si="0"/>
        <v>195557.86000000002</v>
      </c>
      <c r="G18" s="218">
        <v>0</v>
      </c>
      <c r="H18" s="221">
        <f>VLOOKUP(B18,COMPLEJIDAD!$B$5:$J$13,9,0)</f>
        <v>1240519.6727720294</v>
      </c>
      <c r="I18" s="213">
        <f t="shared" si="2"/>
        <v>1436077.5327720295</v>
      </c>
      <c r="J18" s="91">
        <f>IFERROR(VLOOKUP(B18,'DESEMPEÑO (Indicadores)'!$B$4:$AH$12,33,0),0)</f>
        <v>3777733</v>
      </c>
      <c r="K18" s="121">
        <f t="shared" si="3"/>
        <v>5213810.5327720298</v>
      </c>
      <c r="L18" s="216">
        <f t="shared" si="4"/>
        <v>5213811</v>
      </c>
      <c r="M18" s="122">
        <f t="shared" si="1"/>
        <v>9.9617694165344078E-2</v>
      </c>
      <c r="N18" s="120" t="s">
        <v>6</v>
      </c>
      <c r="O18" s="181">
        <f>P18+Q18</f>
        <v>1299825</v>
      </c>
      <c r="P18" s="137">
        <f>VLOOKUP($N18,'Montos Anticipo BD 2025'!$B$12:$K$20,9,0)</f>
        <v>1052578</v>
      </c>
      <c r="Q18" s="137">
        <f>VLOOKUP($N18,'Montos Anticipo BD 2025'!$B$12:$K$20,10,0)</f>
        <v>247247</v>
      </c>
      <c r="R18" s="178">
        <f t="shared" si="6"/>
        <v>3913986</v>
      </c>
      <c r="S18" s="295">
        <f t="shared" si="7"/>
        <v>3169485</v>
      </c>
      <c r="T18" s="296">
        <f t="shared" si="8"/>
        <v>744501</v>
      </c>
      <c r="U18" s="113">
        <f t="shared" si="9"/>
        <v>0</v>
      </c>
      <c r="V18" s="141" t="s">
        <v>6</v>
      </c>
      <c r="W18" s="141" t="s">
        <v>139</v>
      </c>
      <c r="Y18" s="231">
        <f t="shared" si="10"/>
        <v>4222063</v>
      </c>
      <c r="Z18" s="231">
        <f t="shared" si="11"/>
        <v>991748</v>
      </c>
    </row>
    <row r="19" spans="1:26" x14ac:dyDescent="0.35">
      <c r="A19" s="71" t="s">
        <v>15</v>
      </c>
      <c r="B19" s="82" t="s">
        <v>7</v>
      </c>
      <c r="C19" s="65" t="s">
        <v>17</v>
      </c>
      <c r="D19" s="73" t="str">
        <f>VLOOKUP(B19,Categorías!$B$5:$Z$13,25,0)</f>
        <v>Categoría II</v>
      </c>
      <c r="E19" s="37">
        <v>30330</v>
      </c>
      <c r="F19" s="88">
        <f t="shared" si="0"/>
        <v>31239.9</v>
      </c>
      <c r="G19" s="218">
        <v>0</v>
      </c>
      <c r="H19" s="221">
        <f>VLOOKUP(B19,COMPLEJIDAD!$B$5:$J$13,9,0)</f>
        <v>964647.75561134261</v>
      </c>
      <c r="I19" s="213">
        <f t="shared" si="2"/>
        <v>995887.65561134263</v>
      </c>
      <c r="J19" s="91">
        <f>IFERROR(VLOOKUP(B19,'DESEMPEÑO (Indicadores)'!$B$4:$AH$12,33,0),0)</f>
        <v>2497117</v>
      </c>
      <c r="K19" s="121">
        <f t="shared" si="3"/>
        <v>3493004.6556113428</v>
      </c>
      <c r="L19" s="216">
        <f t="shared" si="4"/>
        <v>3493005</v>
      </c>
      <c r="M19" s="122">
        <f t="shared" si="1"/>
        <v>6.6739109608694627E-2</v>
      </c>
      <c r="N19" s="120" t="s">
        <v>7</v>
      </c>
      <c r="O19" s="181">
        <f t="shared" si="5"/>
        <v>952400</v>
      </c>
      <c r="P19" s="137">
        <f>VLOOKUP($N19,'Montos Anticipo BD 2025'!$B$12:$K$20,9,0)</f>
        <v>771239</v>
      </c>
      <c r="Q19" s="137">
        <f>VLOOKUP($N19,'Montos Anticipo BD 2025'!$B$12:$K$20,10,0)</f>
        <v>181161</v>
      </c>
      <c r="R19" s="178">
        <f t="shared" si="6"/>
        <v>2540605</v>
      </c>
      <c r="S19" s="295">
        <f t="shared" si="7"/>
        <v>2057342</v>
      </c>
      <c r="T19" s="296">
        <f t="shared" si="8"/>
        <v>483263</v>
      </c>
      <c r="U19" s="113">
        <f t="shared" si="9"/>
        <v>0</v>
      </c>
      <c r="V19" s="141" t="s">
        <v>7</v>
      </c>
      <c r="W19" s="141" t="s">
        <v>140</v>
      </c>
      <c r="Y19" s="231">
        <f t="shared" si="10"/>
        <v>2828581</v>
      </c>
      <c r="Z19" s="231">
        <f t="shared" si="11"/>
        <v>664424</v>
      </c>
    </row>
    <row r="20" spans="1:26" x14ac:dyDescent="0.35">
      <c r="A20" s="71" t="s">
        <v>21</v>
      </c>
      <c r="B20" s="82" t="s">
        <v>18</v>
      </c>
      <c r="C20" s="65" t="s">
        <v>17</v>
      </c>
      <c r="D20" s="73" t="str">
        <f>VLOOKUP(B20,Categorías!$B$5:$Z$13,25,0)</f>
        <v>Categoría II</v>
      </c>
      <c r="E20" s="37">
        <v>95377</v>
      </c>
      <c r="F20" s="88">
        <f t="shared" si="0"/>
        <v>98238.31</v>
      </c>
      <c r="G20" s="218">
        <v>0</v>
      </c>
      <c r="H20" s="221">
        <f>VLOOKUP(B20,COMPLEJIDAD!$B$5:$J$13,9,0)</f>
        <v>1062729.279226742</v>
      </c>
      <c r="I20" s="213">
        <f t="shared" si="2"/>
        <v>1160967.589226742</v>
      </c>
      <c r="J20" s="91">
        <f>IFERROR(VLOOKUP(B20,'DESEMPEÑO (Indicadores)'!$B$4:$AH$12,33,0),0)</f>
        <v>2801242</v>
      </c>
      <c r="K20" s="121">
        <f t="shared" si="3"/>
        <v>3962209.5892267423</v>
      </c>
      <c r="L20" s="216">
        <f t="shared" si="4"/>
        <v>3962210</v>
      </c>
      <c r="M20" s="122">
        <f t="shared" si="1"/>
        <v>7.570397622753644E-2</v>
      </c>
      <c r="N20" s="120" t="s">
        <v>18</v>
      </c>
      <c r="O20" s="181">
        <f t="shared" si="5"/>
        <v>1263626</v>
      </c>
      <c r="P20" s="137">
        <f>VLOOKUP($N20,'Montos Anticipo BD 2025'!$B$12:$K$20,9,0)</f>
        <v>1023265</v>
      </c>
      <c r="Q20" s="137">
        <f>VLOOKUP($N20,'Montos Anticipo BD 2025'!$B$12:$K$20,10,0)</f>
        <v>240361</v>
      </c>
      <c r="R20" s="178">
        <f t="shared" si="6"/>
        <v>2698584</v>
      </c>
      <c r="S20" s="295">
        <f t="shared" si="7"/>
        <v>2185271</v>
      </c>
      <c r="T20" s="296">
        <f t="shared" si="8"/>
        <v>513313</v>
      </c>
      <c r="U20" s="113">
        <f t="shared" si="9"/>
        <v>0</v>
      </c>
      <c r="V20" s="141" t="s">
        <v>18</v>
      </c>
      <c r="W20" s="141" t="s">
        <v>141</v>
      </c>
      <c r="Y20" s="231">
        <f t="shared" si="10"/>
        <v>3208536</v>
      </c>
      <c r="Z20" s="231">
        <f t="shared" si="11"/>
        <v>753674</v>
      </c>
    </row>
    <row r="21" spans="1:26" ht="15" thickBot="1" x14ac:dyDescent="0.4">
      <c r="A21" s="78" t="s">
        <v>20</v>
      </c>
      <c r="B21" s="83" t="s">
        <v>19</v>
      </c>
      <c r="C21" s="66" t="s">
        <v>17</v>
      </c>
      <c r="D21" s="73" t="str">
        <f>VLOOKUP(B21,Categorías!$B$5:$Z$13,25,0)</f>
        <v>Categoría II</v>
      </c>
      <c r="E21" s="79">
        <v>76198</v>
      </c>
      <c r="F21" s="89">
        <f t="shared" si="0"/>
        <v>78483.94</v>
      </c>
      <c r="G21" s="219">
        <v>0</v>
      </c>
      <c r="H21" s="221">
        <f>VLOOKUP(B21,COMPLEJIDAD!$B$5:$J$13,9,0)</f>
        <v>817292.73336471932</v>
      </c>
      <c r="I21" s="213">
        <f t="shared" si="2"/>
        <v>895776.67336471938</v>
      </c>
      <c r="J21" s="92">
        <f>IFERROR(VLOOKUP(B21,'DESEMPEÑO (Indicadores)'!$B$4:$AH$12,33,0),0)</f>
        <v>2690953</v>
      </c>
      <c r="K21" s="121">
        <f t="shared" si="3"/>
        <v>3586729.6733647194</v>
      </c>
      <c r="L21" s="216">
        <f t="shared" si="4"/>
        <v>3586730</v>
      </c>
      <c r="M21" s="122">
        <f t="shared" si="1"/>
        <v>6.8529866578144971E-2</v>
      </c>
      <c r="N21" s="127" t="s">
        <v>19</v>
      </c>
      <c r="O21" s="181">
        <f>P21+Q21</f>
        <v>1076622</v>
      </c>
      <c r="P21" s="137">
        <f>VLOOKUP($N21,'Montos Anticipo BD 2025'!$B$12:$K$20,9,0)</f>
        <v>871832</v>
      </c>
      <c r="Q21" s="137">
        <f>VLOOKUP($N21,'Montos Anticipo BD 2025'!$B$12:$K$20,10,0)</f>
        <v>204790</v>
      </c>
      <c r="R21" s="179">
        <f t="shared" si="6"/>
        <v>2510108</v>
      </c>
      <c r="S21" s="295">
        <f>ROUND(R21*$B$32,0)+1</f>
        <v>2032647</v>
      </c>
      <c r="T21" s="296">
        <f t="shared" si="8"/>
        <v>477461</v>
      </c>
      <c r="U21" s="113">
        <f t="shared" si="9"/>
        <v>0</v>
      </c>
      <c r="V21" s="141" t="s">
        <v>19</v>
      </c>
      <c r="W21" s="141" t="s">
        <v>136</v>
      </c>
      <c r="Y21" s="231">
        <f t="shared" si="10"/>
        <v>2904479</v>
      </c>
      <c r="Z21" s="231">
        <f t="shared" si="11"/>
        <v>682251</v>
      </c>
    </row>
    <row r="22" spans="1:26" ht="15" thickBot="1" x14ac:dyDescent="0.4">
      <c r="A22" s="266" t="s">
        <v>103</v>
      </c>
      <c r="B22" s="267"/>
      <c r="C22" s="267"/>
      <c r="D22" s="267"/>
      <c r="E22" s="67">
        <f>SUM(E13:E21)</f>
        <v>5337700</v>
      </c>
      <c r="F22" s="67">
        <f>SUM(F13:F21)</f>
        <v>5497831.0000000009</v>
      </c>
      <c r="G22" s="220">
        <f>SUM(G13:G21)</f>
        <v>50000</v>
      </c>
      <c r="H22" s="222">
        <f t="shared" ref="H22" si="12">SUM(H13:H21)</f>
        <v>15701460.600000003</v>
      </c>
      <c r="I22" s="214">
        <f t="shared" ref="I22:M22" si="13">SUM(I13:I21)</f>
        <v>21249291.600000001</v>
      </c>
      <c r="J22" s="93">
        <f t="shared" si="13"/>
        <v>31088908</v>
      </c>
      <c r="K22" s="123">
        <f t="shared" si="13"/>
        <v>52338199.600000009</v>
      </c>
      <c r="L22" s="123">
        <f t="shared" si="13"/>
        <v>52338202</v>
      </c>
      <c r="M22" s="124">
        <f t="shared" si="13"/>
        <v>1</v>
      </c>
      <c r="N22" s="128" t="s">
        <v>126</v>
      </c>
      <c r="O22" s="182">
        <f t="shared" ref="O22" si="14">SUM(O13:O21)</f>
        <v>15701457</v>
      </c>
      <c r="P22" s="129">
        <f>SUM(P13:P21)</f>
        <v>12714796</v>
      </c>
      <c r="Q22" s="129">
        <f>SUM(Q13:Q21)</f>
        <v>2986661</v>
      </c>
      <c r="R22" s="180">
        <f>SUM(R13:R21)</f>
        <v>36636745</v>
      </c>
      <c r="S22" s="297">
        <f>SUM(S13:S21)</f>
        <v>29667867</v>
      </c>
      <c r="T22" s="298">
        <f>SUM(T13:T21)</f>
        <v>6968878</v>
      </c>
      <c r="U22" s="113">
        <f t="shared" si="9"/>
        <v>0</v>
      </c>
      <c r="Y22" s="231">
        <f t="shared" si="10"/>
        <v>42382663</v>
      </c>
      <c r="Z22" s="231">
        <f t="shared" si="11"/>
        <v>9955539</v>
      </c>
    </row>
    <row r="23" spans="1:26" x14ac:dyDescent="0.35">
      <c r="F23" s="215">
        <f>F22-E27</f>
        <v>0</v>
      </c>
      <c r="G23" s="215"/>
      <c r="H23" s="215">
        <f>H22-G27</f>
        <v>0</v>
      </c>
      <c r="I23" s="215">
        <f>I22-H27</f>
        <v>0</v>
      </c>
      <c r="J23" s="215">
        <f>J22-I27</f>
        <v>-2.3999999985098839</v>
      </c>
      <c r="K23" s="215"/>
      <c r="L23" s="58">
        <f>+D29-L22</f>
        <v>0</v>
      </c>
      <c r="R23" s="118"/>
      <c r="S23" s="125"/>
      <c r="T23" s="125"/>
    </row>
    <row r="24" spans="1:26" x14ac:dyDescent="0.35">
      <c r="F24" s="58"/>
      <c r="G24" s="58"/>
      <c r="H24" s="58"/>
      <c r="I24" s="58"/>
      <c r="J24" s="58"/>
      <c r="K24" s="58"/>
      <c r="L24" s="58"/>
      <c r="M24" s="58"/>
      <c r="N24" s="58"/>
      <c r="O24" s="186"/>
      <c r="P24" s="186"/>
      <c r="Q24" s="186"/>
      <c r="R24" s="113"/>
    </row>
    <row r="25" spans="1:26" ht="15" customHeight="1" x14ac:dyDescent="0.35">
      <c r="E25" s="253" t="s">
        <v>116</v>
      </c>
      <c r="F25" s="254"/>
      <c r="G25" s="254"/>
      <c r="H25" s="255"/>
      <c r="I25" s="232" t="s">
        <v>117</v>
      </c>
      <c r="O25" s="186"/>
      <c r="P25" s="115"/>
      <c r="Q25" s="115"/>
      <c r="S25" s="191"/>
      <c r="T25" s="191"/>
    </row>
    <row r="26" spans="1:26" ht="26" x14ac:dyDescent="0.35">
      <c r="A26" s="84" t="s">
        <v>73</v>
      </c>
      <c r="B26" s="84" t="s">
        <v>109</v>
      </c>
      <c r="C26" s="84" t="s">
        <v>110</v>
      </c>
      <c r="D26" s="84" t="s">
        <v>187</v>
      </c>
      <c r="E26" s="85" t="s">
        <v>118</v>
      </c>
      <c r="F26" s="217" t="s">
        <v>219</v>
      </c>
      <c r="G26" s="223" t="s">
        <v>115</v>
      </c>
      <c r="H26" s="107" t="s">
        <v>62</v>
      </c>
      <c r="I26" s="233"/>
      <c r="P26" s="115"/>
      <c r="Q26" s="115"/>
    </row>
    <row r="27" spans="1:26" x14ac:dyDescent="0.35">
      <c r="A27" s="38" t="s">
        <v>142</v>
      </c>
      <c r="B27" s="39">
        <v>42382663</v>
      </c>
      <c r="C27" s="39">
        <v>10479515</v>
      </c>
      <c r="D27" s="39">
        <f>B27+C27</f>
        <v>52862178</v>
      </c>
      <c r="E27" s="111">
        <f>F22</f>
        <v>5497831.0000000009</v>
      </c>
      <c r="F27" s="195">
        <v>50000</v>
      </c>
      <c r="G27" s="194">
        <f>B38</f>
        <v>15701460.6</v>
      </c>
      <c r="H27" s="194">
        <f>E27+G27+F27</f>
        <v>21249291.600000001</v>
      </c>
      <c r="I27" s="194">
        <f>D29-H27</f>
        <v>31088910.399999999</v>
      </c>
    </row>
    <row r="28" spans="1:26" x14ac:dyDescent="0.35">
      <c r="A28" s="38" t="s">
        <v>204</v>
      </c>
      <c r="B28" s="39">
        <v>0</v>
      </c>
      <c r="C28" s="39">
        <v>523976</v>
      </c>
      <c r="D28" s="39">
        <f>B28+C28</f>
        <v>523976</v>
      </c>
      <c r="E28" s="193"/>
      <c r="F28" s="193"/>
      <c r="G28" s="36"/>
      <c r="I28" s="36"/>
      <c r="J28" s="36"/>
      <c r="K28" s="36"/>
    </row>
    <row r="29" spans="1:26" x14ac:dyDescent="0.35">
      <c r="A29" s="38" t="s">
        <v>205</v>
      </c>
      <c r="B29" s="207">
        <f>B27-B28</f>
        <v>42382663</v>
      </c>
      <c r="C29" s="207">
        <f>C27-C28</f>
        <v>9955539</v>
      </c>
      <c r="D29" s="207">
        <f>B29+C29</f>
        <v>52338202</v>
      </c>
      <c r="E29" s="193"/>
      <c r="F29" s="193"/>
      <c r="G29" s="36"/>
    </row>
    <row r="30" spans="1:26" x14ac:dyDescent="0.35">
      <c r="A30" s="187" t="s">
        <v>221</v>
      </c>
      <c r="B30" s="188">
        <f>+P22</f>
        <v>12714796</v>
      </c>
      <c r="C30" s="188">
        <f>+Q22</f>
        <v>2986661</v>
      </c>
      <c r="D30" s="188">
        <f>+C30+B30</f>
        <v>15701457</v>
      </c>
      <c r="E30" s="126"/>
    </row>
    <row r="31" spans="1:26" x14ac:dyDescent="0.35">
      <c r="A31" s="189" t="s">
        <v>159</v>
      </c>
      <c r="B31" s="190">
        <f>+B29-B30</f>
        <v>29667867</v>
      </c>
      <c r="C31" s="190">
        <f>+C29-C30</f>
        <v>6968878</v>
      </c>
      <c r="D31" s="190">
        <f>+D29-D30</f>
        <v>36636745</v>
      </c>
    </row>
    <row r="32" spans="1:26" x14ac:dyDescent="0.35">
      <c r="B32" s="299">
        <f>+B31/$D$31</f>
        <v>0.80978446638750246</v>
      </c>
      <c r="C32" s="299">
        <f>+C31/$D$31</f>
        <v>0.19021553361249752</v>
      </c>
      <c r="D32" s="300"/>
    </row>
    <row r="33" spans="1:4" x14ac:dyDescent="0.35">
      <c r="A33" s="189" t="s">
        <v>222</v>
      </c>
      <c r="B33" s="190">
        <f>+S22</f>
        <v>29667867</v>
      </c>
      <c r="C33" s="190">
        <f>+T22</f>
        <v>6968878</v>
      </c>
      <c r="D33" s="190">
        <f>+C33+B33</f>
        <v>36636745</v>
      </c>
    </row>
    <row r="34" spans="1:4" x14ac:dyDescent="0.35">
      <c r="A34" s="189" t="s">
        <v>160</v>
      </c>
      <c r="B34" s="190">
        <f>+B31-B33</f>
        <v>0</v>
      </c>
      <c r="C34" s="190">
        <f>+C31-C33</f>
        <v>0</v>
      </c>
      <c r="D34" s="190">
        <f>+D31-D33</f>
        <v>0</v>
      </c>
    </row>
    <row r="38" spans="1:4" x14ac:dyDescent="0.35">
      <c r="A38" s="16" t="s">
        <v>111</v>
      </c>
      <c r="B38" s="39">
        <f>+'Montos Anticipo BD 2025'!B29</f>
        <v>15701460.6</v>
      </c>
    </row>
    <row r="39" spans="1:4" x14ac:dyDescent="0.35">
      <c r="A39" s="16" t="s">
        <v>224</v>
      </c>
      <c r="B39" s="17">
        <v>0.03</v>
      </c>
    </row>
  </sheetData>
  <sortState xmlns:xlrd2="http://schemas.microsoft.com/office/spreadsheetml/2017/richdata2" ref="A13:N21">
    <sortCondition descending="1" ref="L13:L21"/>
  </sortState>
  <mergeCells count="20">
    <mergeCell ref="O11:Q11"/>
    <mergeCell ref="R11:T11"/>
    <mergeCell ref="N11:N12"/>
    <mergeCell ref="N10:T10"/>
    <mergeCell ref="A22:D22"/>
    <mergeCell ref="A10:A12"/>
    <mergeCell ref="B10:B12"/>
    <mergeCell ref="C10:C12"/>
    <mergeCell ref="D10:D12"/>
    <mergeCell ref="G11:G12"/>
    <mergeCell ref="H11:H12"/>
    <mergeCell ref="I25:I26"/>
    <mergeCell ref="M10:M12"/>
    <mergeCell ref="J10:J12"/>
    <mergeCell ref="K10:K12"/>
    <mergeCell ref="E11:F11"/>
    <mergeCell ref="I10:I12"/>
    <mergeCell ref="L10:L12"/>
    <mergeCell ref="E10:H10"/>
    <mergeCell ref="E25:H25"/>
  </mergeCells>
  <phoneticPr fontId="14" type="noConversion"/>
  <pageMargins left="0.31496062992125984" right="0.31496062992125984" top="0.74803149606299213" bottom="0.74803149606299213" header="0.31496062992125984" footer="0.31496062992125984"/>
  <pageSetup paperSize="14" scale="64" orientation="landscape" r:id="rId1"/>
  <headerFooter>
    <oddFooter>&amp;F</oddFooter>
  </headerFooter>
  <colBreaks count="2" manualBreakCount="2">
    <brk id="11" max="29" man="1"/>
    <brk id="20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BB12F-9721-4CA1-B8BD-0B9F5ECF5FC5}">
  <sheetPr>
    <tabColor theme="6" tint="0.59999389629810485"/>
  </sheetPr>
  <dimension ref="A2:E16"/>
  <sheetViews>
    <sheetView zoomScale="90" zoomScaleNormal="90" workbookViewId="0">
      <selection activeCell="F4" sqref="F4"/>
    </sheetView>
  </sheetViews>
  <sheetFormatPr baseColWidth="10" defaultRowHeight="14.5" x14ac:dyDescent="0.35"/>
  <cols>
    <col min="1" max="1" width="50" bestFit="1" customWidth="1"/>
    <col min="5" max="5" width="13.1796875" bestFit="1" customWidth="1"/>
  </cols>
  <sheetData>
    <row r="2" spans="1:5" x14ac:dyDescent="0.35">
      <c r="B2" s="150">
        <v>1</v>
      </c>
      <c r="C2" s="150">
        <v>2</v>
      </c>
      <c r="D2" s="150">
        <v>3</v>
      </c>
      <c r="E2" s="150">
        <v>4</v>
      </c>
    </row>
    <row r="3" spans="1:5" ht="52" x14ac:dyDescent="0.35">
      <c r="A3" s="44" t="s">
        <v>8</v>
      </c>
      <c r="B3" s="45" t="s">
        <v>0</v>
      </c>
      <c r="C3" s="45" t="s">
        <v>202</v>
      </c>
      <c r="D3" s="45" t="s">
        <v>89</v>
      </c>
      <c r="E3" s="45" t="s">
        <v>88</v>
      </c>
    </row>
    <row r="4" spans="1:5" x14ac:dyDescent="0.35">
      <c r="A4" s="38" t="s">
        <v>9</v>
      </c>
      <c r="B4" s="54" t="s">
        <v>1</v>
      </c>
      <c r="C4" s="104">
        <f>VLOOKUP(B4,Categorías!$B$5:$X$13,23,0)</f>
        <v>39</v>
      </c>
      <c r="D4" s="46">
        <f t="shared" ref="D4:D12" si="0">C4/$C$13</f>
        <v>0.28888888888888886</v>
      </c>
      <c r="E4" s="53">
        <f t="shared" ref="E4:E12" si="1">D4*$B$16</f>
        <v>755996.25111111102</v>
      </c>
    </row>
    <row r="5" spans="1:5" x14ac:dyDescent="0.35">
      <c r="A5" s="38" t="s">
        <v>10</v>
      </c>
      <c r="B5" s="54" t="s">
        <v>2</v>
      </c>
      <c r="C5" s="104">
        <f>VLOOKUP(B5,Categorías!$B$5:$X$13,23,0)</f>
        <v>33</v>
      </c>
      <c r="D5" s="46">
        <f t="shared" si="0"/>
        <v>0.24444444444444444</v>
      </c>
      <c r="E5" s="53">
        <f t="shared" si="1"/>
        <v>639689.13555555558</v>
      </c>
    </row>
    <row r="6" spans="1:5" x14ac:dyDescent="0.35">
      <c r="A6" s="38" t="s">
        <v>11</v>
      </c>
      <c r="B6" s="54" t="s">
        <v>3</v>
      </c>
      <c r="C6" s="104">
        <f>VLOOKUP(B6,Categorías!$B$5:$X$13,23,0)</f>
        <v>18</v>
      </c>
      <c r="D6" s="46">
        <f t="shared" si="0"/>
        <v>0.13333333333333333</v>
      </c>
      <c r="E6" s="53">
        <f t="shared" si="1"/>
        <v>348921.34666666668</v>
      </c>
    </row>
    <row r="7" spans="1:5" x14ac:dyDescent="0.35">
      <c r="A7" s="38" t="s">
        <v>12</v>
      </c>
      <c r="B7" s="54" t="s">
        <v>4</v>
      </c>
      <c r="C7" s="104">
        <f>VLOOKUP(B7,Categorías!$B$5:$X$13,23,0)</f>
        <v>11</v>
      </c>
      <c r="D7" s="46">
        <f t="shared" si="0"/>
        <v>8.1481481481481488E-2</v>
      </c>
      <c r="E7" s="53">
        <f t="shared" si="1"/>
        <v>213229.71185185187</v>
      </c>
    </row>
    <row r="8" spans="1:5" x14ac:dyDescent="0.35">
      <c r="A8" s="38" t="s">
        <v>14</v>
      </c>
      <c r="B8" s="54" t="s">
        <v>6</v>
      </c>
      <c r="C8" s="104">
        <f>VLOOKUP(B8,Categorías!$B$5:$X$13,23,0)</f>
        <v>10</v>
      </c>
      <c r="D8" s="46">
        <f t="shared" si="0"/>
        <v>7.407407407407407E-2</v>
      </c>
      <c r="E8" s="53">
        <f t="shared" si="1"/>
        <v>193845.19259259259</v>
      </c>
    </row>
    <row r="9" spans="1:5" x14ac:dyDescent="0.35">
      <c r="A9" s="38" t="s">
        <v>13</v>
      </c>
      <c r="B9" s="54" t="s">
        <v>5</v>
      </c>
      <c r="C9" s="104">
        <f>VLOOKUP(B9,Categorías!$B$5:$X$13,23,0)</f>
        <v>8</v>
      </c>
      <c r="D9" s="46">
        <f t="shared" si="0"/>
        <v>5.9259259259259262E-2</v>
      </c>
      <c r="E9" s="53">
        <f t="shared" si="1"/>
        <v>155076.15407407409</v>
      </c>
    </row>
    <row r="10" spans="1:5" x14ac:dyDescent="0.35">
      <c r="A10" s="38" t="s">
        <v>15</v>
      </c>
      <c r="B10" s="54" t="s">
        <v>7</v>
      </c>
      <c r="C10" s="104">
        <f>VLOOKUP(B10,Categorías!$B$5:$X$13,23,0)</f>
        <v>4</v>
      </c>
      <c r="D10" s="46">
        <f t="shared" si="0"/>
        <v>2.9629629629629631E-2</v>
      </c>
      <c r="E10" s="53">
        <f t="shared" si="1"/>
        <v>77538.077037037045</v>
      </c>
    </row>
    <row r="11" spans="1:5" x14ac:dyDescent="0.35">
      <c r="A11" s="38" t="s">
        <v>20</v>
      </c>
      <c r="B11" s="54" t="s">
        <v>19</v>
      </c>
      <c r="C11" s="104">
        <f>VLOOKUP(B11,Categorías!$B$5:$X$13,23,0)</f>
        <v>4</v>
      </c>
      <c r="D11" s="46">
        <f t="shared" si="0"/>
        <v>2.9629629629629631E-2</v>
      </c>
      <c r="E11" s="53">
        <f t="shared" si="1"/>
        <v>77538.077037037045</v>
      </c>
    </row>
    <row r="12" spans="1:5" x14ac:dyDescent="0.35">
      <c r="A12" s="38" t="s">
        <v>21</v>
      </c>
      <c r="B12" s="54" t="s">
        <v>18</v>
      </c>
      <c r="C12" s="104">
        <f>VLOOKUP(B12,Categorías!$B$5:$X$13,23,0)</f>
        <v>8</v>
      </c>
      <c r="D12" s="46">
        <f t="shared" si="0"/>
        <v>5.9259259259259262E-2</v>
      </c>
      <c r="E12" s="53">
        <f t="shared" si="1"/>
        <v>155076.15407407409</v>
      </c>
    </row>
    <row r="13" spans="1:5" x14ac:dyDescent="0.35">
      <c r="C13" s="151">
        <f>SUM(C4:C12)</f>
        <v>135</v>
      </c>
      <c r="D13" s="152">
        <f>SUM(D4:D12)</f>
        <v>1</v>
      </c>
      <c r="E13" s="153">
        <f>SUM(E4:E12)</f>
        <v>2616910.1</v>
      </c>
    </row>
    <row r="16" spans="1:5" x14ac:dyDescent="0.35">
      <c r="A16" t="s">
        <v>102</v>
      </c>
      <c r="B16" s="5">
        <f>'Montos BD 2025'!B38/6</f>
        <v>2616910.1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FEE5E-24A6-4BFE-AB11-397F663DB8B0}">
  <sheetPr>
    <tabColor theme="6" tint="0.59999389629810485"/>
  </sheetPr>
  <dimension ref="A2:E16"/>
  <sheetViews>
    <sheetView zoomScale="90" zoomScaleNormal="90" workbookViewId="0">
      <selection activeCell="F4" sqref="F4"/>
    </sheetView>
  </sheetViews>
  <sheetFormatPr baseColWidth="10" defaultRowHeight="14.5" x14ac:dyDescent="0.35"/>
  <cols>
    <col min="1" max="1" width="50" bestFit="1" customWidth="1"/>
    <col min="5" max="5" width="12" bestFit="1" customWidth="1"/>
  </cols>
  <sheetData>
    <row r="2" spans="1:5" x14ac:dyDescent="0.35">
      <c r="B2" s="150">
        <v>1</v>
      </c>
      <c r="C2" s="150">
        <v>2</v>
      </c>
      <c r="D2" s="150">
        <v>3</v>
      </c>
      <c r="E2" s="150">
        <v>4</v>
      </c>
    </row>
    <row r="3" spans="1:5" ht="26" x14ac:dyDescent="0.35">
      <c r="A3" s="44" t="s">
        <v>8</v>
      </c>
      <c r="B3" s="45" t="s">
        <v>0</v>
      </c>
      <c r="C3" s="45" t="s">
        <v>188</v>
      </c>
      <c r="D3" s="45" t="s">
        <v>89</v>
      </c>
      <c r="E3" s="45" t="s">
        <v>88</v>
      </c>
    </row>
    <row r="4" spans="1:5" x14ac:dyDescent="0.35">
      <c r="A4" s="38" t="s">
        <v>92</v>
      </c>
      <c r="B4" s="54" t="s">
        <v>1</v>
      </c>
      <c r="C4" s="106">
        <v>1591</v>
      </c>
      <c r="D4" s="46">
        <f t="shared" ref="D4:D12" si="0">C4/$C$13</f>
        <v>0.24921679197994986</v>
      </c>
      <c r="E4" s="53">
        <f t="shared" ref="E4:E12" si="1">D4*$B$16</f>
        <v>652177.9400219298</v>
      </c>
    </row>
    <row r="5" spans="1:5" x14ac:dyDescent="0.35">
      <c r="A5" s="38" t="s">
        <v>93</v>
      </c>
      <c r="B5" s="54" t="s">
        <v>2</v>
      </c>
      <c r="C5" s="106">
        <v>1222</v>
      </c>
      <c r="D5" s="46">
        <f t="shared" si="0"/>
        <v>0.19141604010025062</v>
      </c>
      <c r="E5" s="53">
        <f t="shared" si="1"/>
        <v>500918.56864035089</v>
      </c>
    </row>
    <row r="6" spans="1:5" x14ac:dyDescent="0.35">
      <c r="A6" s="38" t="s">
        <v>94</v>
      </c>
      <c r="B6" s="54" t="s">
        <v>3</v>
      </c>
      <c r="C6" s="106">
        <v>626</v>
      </c>
      <c r="D6" s="46">
        <f t="shared" si="0"/>
        <v>9.8057644110275691E-2</v>
      </c>
      <c r="E6" s="53">
        <f t="shared" si="1"/>
        <v>256608.03925438598</v>
      </c>
    </row>
    <row r="7" spans="1:5" x14ac:dyDescent="0.35">
      <c r="A7" s="38" t="s">
        <v>12</v>
      </c>
      <c r="B7" s="54" t="s">
        <v>4</v>
      </c>
      <c r="C7" s="106">
        <v>770</v>
      </c>
      <c r="D7" s="46">
        <f t="shared" si="0"/>
        <v>0.1206140350877193</v>
      </c>
      <c r="E7" s="53">
        <f t="shared" si="1"/>
        <v>315636.08662280702</v>
      </c>
    </row>
    <row r="8" spans="1:5" x14ac:dyDescent="0.35">
      <c r="A8" s="38" t="s">
        <v>95</v>
      </c>
      <c r="B8" s="54" t="s">
        <v>6</v>
      </c>
      <c r="C8" s="106">
        <v>475</v>
      </c>
      <c r="D8" s="46">
        <f t="shared" si="0"/>
        <v>7.4404761904761904E-2</v>
      </c>
      <c r="E8" s="53">
        <f t="shared" si="1"/>
        <v>194710.57291666669</v>
      </c>
    </row>
    <row r="9" spans="1:5" x14ac:dyDescent="0.35">
      <c r="A9" s="38" t="s">
        <v>96</v>
      </c>
      <c r="B9" s="54" t="s">
        <v>5</v>
      </c>
      <c r="C9" s="106">
        <v>484</v>
      </c>
      <c r="D9" s="46">
        <f t="shared" si="0"/>
        <v>7.5814536340852126E-2</v>
      </c>
      <c r="E9" s="53">
        <f t="shared" si="1"/>
        <v>198399.82587719298</v>
      </c>
    </row>
    <row r="10" spans="1:5" x14ac:dyDescent="0.35">
      <c r="A10" s="38" t="s">
        <v>97</v>
      </c>
      <c r="B10" s="54" t="s">
        <v>7</v>
      </c>
      <c r="C10" s="106">
        <v>442</v>
      </c>
      <c r="D10" s="46">
        <f t="shared" si="0"/>
        <v>6.9235588972431081E-2</v>
      </c>
      <c r="E10" s="53">
        <f t="shared" si="1"/>
        <v>181183.31206140353</v>
      </c>
    </row>
    <row r="11" spans="1:5" x14ac:dyDescent="0.35">
      <c r="A11" s="38" t="s">
        <v>98</v>
      </c>
      <c r="B11" s="54" t="s">
        <v>19</v>
      </c>
      <c r="C11" s="106">
        <v>300</v>
      </c>
      <c r="D11" s="46">
        <f t="shared" si="0"/>
        <v>4.6992481203007516E-2</v>
      </c>
      <c r="E11" s="53">
        <f t="shared" si="1"/>
        <v>122975.09868421052</v>
      </c>
    </row>
    <row r="12" spans="1:5" x14ac:dyDescent="0.35">
      <c r="A12" s="38" t="s">
        <v>99</v>
      </c>
      <c r="B12" s="54" t="s">
        <v>18</v>
      </c>
      <c r="C12" s="106">
        <v>474</v>
      </c>
      <c r="D12" s="46">
        <f t="shared" si="0"/>
        <v>7.4248120300751883E-2</v>
      </c>
      <c r="E12" s="53">
        <f t="shared" si="1"/>
        <v>194300.65592105265</v>
      </c>
    </row>
    <row r="13" spans="1:5" x14ac:dyDescent="0.35">
      <c r="C13" s="52">
        <v>6384</v>
      </c>
      <c r="D13" s="152">
        <f>SUM(D4:D12)</f>
        <v>0.99999999999999989</v>
      </c>
      <c r="E13" s="52">
        <f>SUM(E4:E12)</f>
        <v>2616910.0999999996</v>
      </c>
    </row>
    <row r="16" spans="1:5" x14ac:dyDescent="0.35">
      <c r="A16" t="s">
        <v>101</v>
      </c>
      <c r="B16" s="5">
        <f>'Montos BD 2025'!B38/6</f>
        <v>2616910.1</v>
      </c>
    </row>
  </sheetData>
  <autoFilter ref="A3:C12" xr:uid="{F104A81B-AC08-48F4-A852-4A21590014B4}"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DC5B1-E8B6-4875-B61D-F7AD45B4FE41}">
  <sheetPr>
    <tabColor theme="6" tint="0.59999389629810485"/>
  </sheetPr>
  <dimension ref="A2:E16"/>
  <sheetViews>
    <sheetView zoomScale="90" zoomScaleNormal="90" workbookViewId="0">
      <selection activeCell="F4" sqref="F4"/>
    </sheetView>
  </sheetViews>
  <sheetFormatPr baseColWidth="10" defaultRowHeight="14.5" x14ac:dyDescent="0.35"/>
  <cols>
    <col min="1" max="1" width="50" bestFit="1" customWidth="1"/>
  </cols>
  <sheetData>
    <row r="2" spans="1:5" x14ac:dyDescent="0.35">
      <c r="B2" s="150">
        <v>1</v>
      </c>
      <c r="C2" s="150">
        <v>2</v>
      </c>
      <c r="D2" s="150">
        <v>3</v>
      </c>
      <c r="E2" s="150">
        <v>4</v>
      </c>
    </row>
    <row r="3" spans="1:5" ht="52" x14ac:dyDescent="0.35">
      <c r="A3" s="44" t="s">
        <v>8</v>
      </c>
      <c r="B3" s="45" t="s">
        <v>0</v>
      </c>
      <c r="C3" s="45" t="s">
        <v>198</v>
      </c>
      <c r="D3" s="45" t="s">
        <v>89</v>
      </c>
      <c r="E3" s="45" t="s">
        <v>88</v>
      </c>
    </row>
    <row r="4" spans="1:5" x14ac:dyDescent="0.35">
      <c r="A4" s="38" t="s">
        <v>92</v>
      </c>
      <c r="B4" s="54" t="s">
        <v>1</v>
      </c>
      <c r="C4" s="106">
        <v>32675</v>
      </c>
      <c r="D4" s="46">
        <f t="shared" ref="D4:D12" si="0">C4/$C$13</f>
        <v>0.20502346710840047</v>
      </c>
      <c r="E4" s="47">
        <f t="shared" ref="E4:E12" si="1">D4*$B$16</f>
        <v>536527.98181299097</v>
      </c>
    </row>
    <row r="5" spans="1:5" x14ac:dyDescent="0.35">
      <c r="A5" s="38" t="s">
        <v>94</v>
      </c>
      <c r="B5" s="54" t="s">
        <v>3</v>
      </c>
      <c r="C5" s="106">
        <v>17121</v>
      </c>
      <c r="D5" s="46">
        <f t="shared" si="0"/>
        <v>0.10742790452526166</v>
      </c>
      <c r="E5" s="47">
        <f t="shared" si="1"/>
        <v>281129.16837399296</v>
      </c>
    </row>
    <row r="6" spans="1:5" x14ac:dyDescent="0.35">
      <c r="A6" s="38" t="s">
        <v>12</v>
      </c>
      <c r="B6" s="54" t="s">
        <v>4</v>
      </c>
      <c r="C6" s="106">
        <v>17377</v>
      </c>
      <c r="D6" s="46">
        <f t="shared" si="0"/>
        <v>0.10903420927139021</v>
      </c>
      <c r="E6" s="47">
        <f t="shared" si="1"/>
        <v>285332.72348781471</v>
      </c>
    </row>
    <row r="7" spans="1:5" x14ac:dyDescent="0.35">
      <c r="A7" s="38" t="s">
        <v>98</v>
      </c>
      <c r="B7" s="54" t="s">
        <v>19</v>
      </c>
      <c r="C7" s="106">
        <v>13351</v>
      </c>
      <c r="D7" s="46">
        <f t="shared" si="0"/>
        <v>8.3772557287352861E-2</v>
      </c>
      <c r="E7" s="47">
        <f t="shared" si="1"/>
        <v>219225.25126810232</v>
      </c>
    </row>
    <row r="8" spans="1:5" x14ac:dyDescent="0.35">
      <c r="A8" s="38" t="s">
        <v>97</v>
      </c>
      <c r="B8" s="54" t="s">
        <v>7</v>
      </c>
      <c r="C8" s="106">
        <v>10988</v>
      </c>
      <c r="D8" s="46">
        <f t="shared" si="0"/>
        <v>6.8945611525236553E-2</v>
      </c>
      <c r="E8" s="47">
        <f t="shared" si="1"/>
        <v>180424.46715106795</v>
      </c>
    </row>
    <row r="9" spans="1:5" x14ac:dyDescent="0.35">
      <c r="A9" s="38" t="s">
        <v>99</v>
      </c>
      <c r="B9" s="54" t="s">
        <v>18</v>
      </c>
      <c r="C9" s="106">
        <v>12478</v>
      </c>
      <c r="D9" s="46">
        <f t="shared" si="0"/>
        <v>7.8294807117937903E-2</v>
      </c>
      <c r="E9" s="47">
        <f t="shared" si="1"/>
        <v>204890.47152448361</v>
      </c>
    </row>
    <row r="10" spans="1:5" x14ac:dyDescent="0.35">
      <c r="A10" s="38" t="s">
        <v>95</v>
      </c>
      <c r="B10" s="54" t="s">
        <v>6</v>
      </c>
      <c r="C10" s="106">
        <v>11051</v>
      </c>
      <c r="D10" s="46">
        <f t="shared" si="0"/>
        <v>6.9340913083854122E-2</v>
      </c>
      <c r="E10" s="47">
        <f t="shared" si="1"/>
        <v>181458.93579236002</v>
      </c>
    </row>
    <row r="11" spans="1:5" x14ac:dyDescent="0.35">
      <c r="A11" s="38" t="s">
        <v>93</v>
      </c>
      <c r="B11" s="54" t="s">
        <v>2</v>
      </c>
      <c r="C11" s="106">
        <v>25753</v>
      </c>
      <c r="D11" s="46">
        <f t="shared" si="0"/>
        <v>0.16159049268378387</v>
      </c>
      <c r="E11" s="47">
        <f t="shared" si="1"/>
        <v>422867.79236817011</v>
      </c>
    </row>
    <row r="12" spans="1:5" x14ac:dyDescent="0.35">
      <c r="A12" s="38" t="s">
        <v>96</v>
      </c>
      <c r="B12" s="54" t="s">
        <v>5</v>
      </c>
      <c r="C12" s="106">
        <v>18578</v>
      </c>
      <c r="D12" s="46">
        <f t="shared" si="0"/>
        <v>0.11657003739678237</v>
      </c>
      <c r="E12" s="47">
        <f t="shared" si="1"/>
        <v>305053.30822101753</v>
      </c>
    </row>
    <row r="13" spans="1:5" x14ac:dyDescent="0.35">
      <c r="C13" s="52">
        <v>159372</v>
      </c>
      <c r="D13" s="52">
        <f>SUM(D4:D12)</f>
        <v>1</v>
      </c>
      <c r="E13" s="52">
        <f>SUM(E4:E12)</f>
        <v>2616910.1</v>
      </c>
    </row>
    <row r="16" spans="1:5" x14ac:dyDescent="0.35">
      <c r="A16" t="s">
        <v>100</v>
      </c>
      <c r="B16" s="5">
        <f>'Montos BD 2025'!B38/6</f>
        <v>2616910.1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EB96E-080C-43BB-B9BC-C78AF30513C4}">
  <sheetPr>
    <tabColor rgb="FF4FD1FF"/>
  </sheetPr>
  <dimension ref="A1:N29"/>
  <sheetViews>
    <sheetView zoomScale="80" zoomScaleNormal="80" workbookViewId="0">
      <selection activeCell="D41" sqref="D41"/>
    </sheetView>
  </sheetViews>
  <sheetFormatPr baseColWidth="10" defaultRowHeight="14.5" x14ac:dyDescent="0.35"/>
  <cols>
    <col min="1" max="1" width="48" customWidth="1"/>
    <col min="2" max="2" width="17.1796875" customWidth="1"/>
    <col min="3" max="3" width="13.54296875" bestFit="1" customWidth="1"/>
    <col min="4" max="5" width="17.453125" customWidth="1"/>
    <col min="6" max="6" width="15.81640625" customWidth="1"/>
    <col min="7" max="7" width="12" customWidth="1"/>
    <col min="8" max="8" width="13.81640625" customWidth="1"/>
    <col min="9" max="9" width="12.81640625" customWidth="1"/>
    <col min="10" max="10" width="13.1796875" bestFit="1" customWidth="1"/>
    <col min="11" max="11" width="12.26953125" bestFit="1" customWidth="1"/>
    <col min="12" max="12" width="1.7265625" customWidth="1"/>
    <col min="13" max="13" width="7.54296875" customWidth="1"/>
    <col min="14" max="14" width="31.453125" bestFit="1" customWidth="1"/>
  </cols>
  <sheetData>
    <row r="1" spans="1:14" ht="98.25" customHeight="1" x14ac:dyDescent="0.35"/>
    <row r="2" spans="1:14" ht="18.5" x14ac:dyDescent="0.45">
      <c r="A2" s="138" t="s">
        <v>161</v>
      </c>
    </row>
    <row r="3" spans="1:14" ht="18.5" x14ac:dyDescent="0.45">
      <c r="A3" s="138" t="s">
        <v>208</v>
      </c>
    </row>
    <row r="4" spans="1:14" ht="18.5" x14ac:dyDescent="0.45">
      <c r="A4" s="196">
        <v>0.3</v>
      </c>
    </row>
    <row r="5" spans="1:14" ht="18.5" x14ac:dyDescent="0.45">
      <c r="A5" s="138" t="s">
        <v>120</v>
      </c>
    </row>
    <row r="6" spans="1:14" x14ac:dyDescent="0.35">
      <c r="A6" s="139" t="s">
        <v>209</v>
      </c>
      <c r="B6" s="15"/>
    </row>
    <row r="7" spans="1:14" x14ac:dyDescent="0.35">
      <c r="A7" s="197" t="s">
        <v>210</v>
      </c>
      <c r="B7" s="15"/>
    </row>
    <row r="8" spans="1:14" ht="5.25" customHeight="1" thickBot="1" x14ac:dyDescent="0.4">
      <c r="B8" s="15"/>
    </row>
    <row r="9" spans="1:14" ht="27.75" customHeight="1" x14ac:dyDescent="0.35">
      <c r="B9" s="15"/>
      <c r="D9" s="281" t="s">
        <v>197</v>
      </c>
      <c r="E9" s="281"/>
      <c r="F9" s="281"/>
      <c r="G9" s="282"/>
      <c r="H9" s="283" t="s">
        <v>180</v>
      </c>
      <c r="I9" s="284"/>
      <c r="J9" s="284"/>
      <c r="K9" s="285"/>
    </row>
    <row r="10" spans="1:14" ht="39.5" thickBot="1" x14ac:dyDescent="0.4">
      <c r="D10" s="119" t="s">
        <v>211</v>
      </c>
      <c r="E10" s="119" t="s">
        <v>212</v>
      </c>
      <c r="F10" s="272" t="s">
        <v>193</v>
      </c>
      <c r="G10" s="289"/>
      <c r="H10" s="286"/>
      <c r="I10" s="287"/>
      <c r="J10" s="287"/>
      <c r="K10" s="288"/>
    </row>
    <row r="11" spans="1:14" ht="80.25" customHeight="1" x14ac:dyDescent="0.35">
      <c r="A11" s="157" t="s">
        <v>8</v>
      </c>
      <c r="B11" s="157" t="s">
        <v>0</v>
      </c>
      <c r="C11" s="157" t="s">
        <v>16</v>
      </c>
      <c r="D11" s="119" t="s">
        <v>191</v>
      </c>
      <c r="E11" s="119" t="s">
        <v>192</v>
      </c>
      <c r="F11" s="119" t="s">
        <v>121</v>
      </c>
      <c r="G11" s="156" t="s">
        <v>122</v>
      </c>
      <c r="H11" s="155" t="s">
        <v>194</v>
      </c>
      <c r="I11" s="158" t="s">
        <v>195</v>
      </c>
      <c r="J11" s="159" t="s">
        <v>196</v>
      </c>
      <c r="K11" s="160" t="s">
        <v>213</v>
      </c>
      <c r="M11" s="140" t="s">
        <v>133</v>
      </c>
      <c r="N11" s="140" t="s">
        <v>134</v>
      </c>
    </row>
    <row r="12" spans="1:14" x14ac:dyDescent="0.35">
      <c r="A12" s="38" t="s">
        <v>9</v>
      </c>
      <c r="B12" s="82" t="s">
        <v>1</v>
      </c>
      <c r="C12" s="38" t="s">
        <v>146</v>
      </c>
      <c r="D12" s="111">
        <v>4127315</v>
      </c>
      <c r="E12" s="111">
        <v>6044404</v>
      </c>
      <c r="F12" s="112">
        <f>+D12+E12</f>
        <v>10171719</v>
      </c>
      <c r="G12" s="161">
        <f t="shared" ref="G12:G20" si="0">F12/$F$21</f>
        <v>0.21058455535753648</v>
      </c>
      <c r="H12" s="162">
        <f>+G12*$B$29</f>
        <v>3306485.098914878</v>
      </c>
      <c r="I12" s="163">
        <f>+TRUNC(H12,0)</f>
        <v>3306485</v>
      </c>
      <c r="J12" s="198">
        <f>ROUND(I12*$C$25,0)</f>
        <v>2677540</v>
      </c>
      <c r="K12" s="199">
        <f>+I12-J12</f>
        <v>628945</v>
      </c>
      <c r="M12" s="141" t="s">
        <v>1</v>
      </c>
      <c r="N12" s="141" t="s">
        <v>135</v>
      </c>
    </row>
    <row r="13" spans="1:14" x14ac:dyDescent="0.35">
      <c r="A13" s="38" t="s">
        <v>10</v>
      </c>
      <c r="B13" s="82" t="s">
        <v>2</v>
      </c>
      <c r="C13" s="38" t="s">
        <v>146</v>
      </c>
      <c r="D13" s="111">
        <v>3005400</v>
      </c>
      <c r="E13" s="111">
        <v>4481596</v>
      </c>
      <c r="F13" s="112">
        <f t="shared" ref="F13:F20" si="1">+D13+E13</f>
        <v>7486996</v>
      </c>
      <c r="G13" s="161">
        <f t="shared" si="0"/>
        <v>0.15500287843418148</v>
      </c>
      <c r="H13" s="162">
        <f t="shared" ref="H13:H20" si="2">+G13*$B$29</f>
        <v>2433771.5886208899</v>
      </c>
      <c r="I13" s="163">
        <f t="shared" ref="I13:I20" si="3">+TRUNC(H13,0)</f>
        <v>2433771</v>
      </c>
      <c r="J13" s="198">
        <f t="shared" ref="J13:J20" si="4">ROUND(I13*$C$25,0)</f>
        <v>1970830</v>
      </c>
      <c r="K13" s="199">
        <f t="shared" ref="K13:K20" si="5">+I13-J13</f>
        <v>462941</v>
      </c>
      <c r="M13" s="141" t="s">
        <v>2</v>
      </c>
      <c r="N13" s="141" t="s">
        <v>136</v>
      </c>
    </row>
    <row r="14" spans="1:14" x14ac:dyDescent="0.35">
      <c r="A14" s="38" t="s">
        <v>11</v>
      </c>
      <c r="B14" s="82" t="s">
        <v>3</v>
      </c>
      <c r="C14" s="38" t="s">
        <v>146</v>
      </c>
      <c r="D14" s="111">
        <v>2355040</v>
      </c>
      <c r="E14" s="111">
        <v>3638729</v>
      </c>
      <c r="F14" s="112">
        <f t="shared" si="1"/>
        <v>5993769</v>
      </c>
      <c r="G14" s="161">
        <f t="shared" si="0"/>
        <v>0.12408867958117856</v>
      </c>
      <c r="H14" s="162">
        <f t="shared" si="2"/>
        <v>1948373.5133498996</v>
      </c>
      <c r="I14" s="163">
        <f t="shared" si="3"/>
        <v>1948373</v>
      </c>
      <c r="J14" s="198">
        <f t="shared" si="4"/>
        <v>1577762</v>
      </c>
      <c r="K14" s="199">
        <f t="shared" si="5"/>
        <v>370611</v>
      </c>
      <c r="M14" s="141" t="s">
        <v>3</v>
      </c>
      <c r="N14" s="141" t="s">
        <v>137</v>
      </c>
    </row>
    <row r="15" spans="1:14" x14ac:dyDescent="0.35">
      <c r="A15" s="38" t="s">
        <v>12</v>
      </c>
      <c r="B15" s="82" t="s">
        <v>4</v>
      </c>
      <c r="C15" s="38" t="s">
        <v>146</v>
      </c>
      <c r="D15" s="111">
        <v>2329939</v>
      </c>
      <c r="E15" s="111">
        <v>3327879</v>
      </c>
      <c r="F15" s="112">
        <f t="shared" si="1"/>
        <v>5657818</v>
      </c>
      <c r="G15" s="161">
        <f t="shared" si="0"/>
        <v>0.11713350396563907</v>
      </c>
      <c r="H15" s="162">
        <f t="shared" si="2"/>
        <v>1839167.0974564257</v>
      </c>
      <c r="I15" s="163">
        <f t="shared" si="3"/>
        <v>1839167</v>
      </c>
      <c r="J15" s="198">
        <f t="shared" si="4"/>
        <v>1489329</v>
      </c>
      <c r="K15" s="199">
        <f t="shared" si="5"/>
        <v>349838</v>
      </c>
      <c r="M15" s="141" t="s">
        <v>4</v>
      </c>
      <c r="N15" s="141" t="s">
        <v>138</v>
      </c>
    </row>
    <row r="16" spans="1:14" x14ac:dyDescent="0.35">
      <c r="A16" s="38" t="s">
        <v>13</v>
      </c>
      <c r="B16" s="82" t="s">
        <v>5</v>
      </c>
      <c r="C16" s="38" t="s">
        <v>146</v>
      </c>
      <c r="D16" s="111">
        <v>1946570</v>
      </c>
      <c r="E16" s="111">
        <v>2917629</v>
      </c>
      <c r="F16" s="112">
        <f t="shared" si="1"/>
        <v>4864199</v>
      </c>
      <c r="G16" s="161">
        <f t="shared" si="0"/>
        <v>0.10070325218240629</v>
      </c>
      <c r="H16" s="162">
        <f t="shared" si="2"/>
        <v>1581188.1464339164</v>
      </c>
      <c r="I16" s="163">
        <f t="shared" si="3"/>
        <v>1581188</v>
      </c>
      <c r="J16" s="198">
        <f t="shared" si="4"/>
        <v>1280421</v>
      </c>
      <c r="K16" s="199">
        <f t="shared" si="5"/>
        <v>300767</v>
      </c>
      <c r="M16" s="141" t="s">
        <v>5</v>
      </c>
      <c r="N16" s="141" t="s">
        <v>137</v>
      </c>
    </row>
    <row r="17" spans="1:14" x14ac:dyDescent="0.35">
      <c r="A17" s="38" t="s">
        <v>14</v>
      </c>
      <c r="B17" s="82" t="s">
        <v>6</v>
      </c>
      <c r="C17" s="38" t="s">
        <v>146</v>
      </c>
      <c r="D17" s="111">
        <v>1568698</v>
      </c>
      <c r="E17" s="111">
        <v>2429947</v>
      </c>
      <c r="F17" s="112">
        <f t="shared" si="1"/>
        <v>3998645</v>
      </c>
      <c r="G17" s="161">
        <f t="shared" si="0"/>
        <v>8.2783733935005127E-2</v>
      </c>
      <c r="H17" s="162">
        <f t="shared" si="2"/>
        <v>1299825.5367013658</v>
      </c>
      <c r="I17" s="163">
        <f t="shared" si="3"/>
        <v>1299825</v>
      </c>
      <c r="J17" s="198">
        <f t="shared" si="4"/>
        <v>1052578</v>
      </c>
      <c r="K17" s="199">
        <f t="shared" si="5"/>
        <v>247247</v>
      </c>
      <c r="M17" s="141" t="s">
        <v>6</v>
      </c>
      <c r="N17" s="141" t="s">
        <v>139</v>
      </c>
    </row>
    <row r="18" spans="1:14" x14ac:dyDescent="0.35">
      <c r="A18" s="38" t="s">
        <v>15</v>
      </c>
      <c r="B18" s="82" t="s">
        <v>7</v>
      </c>
      <c r="C18" s="38" t="s">
        <v>146</v>
      </c>
      <c r="D18" s="111">
        <v>1201863</v>
      </c>
      <c r="E18" s="111">
        <v>1728001</v>
      </c>
      <c r="F18" s="112">
        <f t="shared" si="1"/>
        <v>2929864</v>
      </c>
      <c r="G18" s="161">
        <f t="shared" si="0"/>
        <v>6.0656817957520578E-2</v>
      </c>
      <c r="H18" s="162">
        <f t="shared" si="2"/>
        <v>952400.63728138176</v>
      </c>
      <c r="I18" s="163">
        <f t="shared" si="3"/>
        <v>952400</v>
      </c>
      <c r="J18" s="198">
        <f t="shared" si="4"/>
        <v>771239</v>
      </c>
      <c r="K18" s="199">
        <f t="shared" si="5"/>
        <v>181161</v>
      </c>
      <c r="M18" s="141" t="s">
        <v>7</v>
      </c>
      <c r="N18" s="141" t="s">
        <v>140</v>
      </c>
    </row>
    <row r="19" spans="1:14" x14ac:dyDescent="0.35">
      <c r="A19" s="38" t="s">
        <v>21</v>
      </c>
      <c r="B19" s="82" t="s">
        <v>18</v>
      </c>
      <c r="C19" s="38" t="s">
        <v>146</v>
      </c>
      <c r="D19" s="111">
        <v>1452469</v>
      </c>
      <c r="E19" s="111">
        <v>2434817</v>
      </c>
      <c r="F19" s="112">
        <f t="shared" si="1"/>
        <v>3887286</v>
      </c>
      <c r="G19" s="161">
        <f t="shared" si="0"/>
        <v>8.047827450380575E-2</v>
      </c>
      <c r="H19" s="162">
        <f t="shared" si="2"/>
        <v>1263626.4562774906</v>
      </c>
      <c r="I19" s="163">
        <f t="shared" si="3"/>
        <v>1263626</v>
      </c>
      <c r="J19" s="198">
        <f t="shared" si="4"/>
        <v>1023265</v>
      </c>
      <c r="K19" s="199">
        <f t="shared" si="5"/>
        <v>240361</v>
      </c>
      <c r="M19" s="141" t="s">
        <v>18</v>
      </c>
      <c r="N19" s="141" t="s">
        <v>141</v>
      </c>
    </row>
    <row r="20" spans="1:14" ht="15" thickBot="1" x14ac:dyDescent="0.4">
      <c r="A20" s="38" t="s">
        <v>20</v>
      </c>
      <c r="B20" s="82" t="s">
        <v>19</v>
      </c>
      <c r="C20" s="38" t="s">
        <v>146</v>
      </c>
      <c r="D20" s="111">
        <v>1333628</v>
      </c>
      <c r="E20" s="111">
        <v>1978379</v>
      </c>
      <c r="F20" s="112">
        <f t="shared" si="1"/>
        <v>3312007</v>
      </c>
      <c r="G20" s="161">
        <f t="shared" si="0"/>
        <v>6.8568304082726655E-2</v>
      </c>
      <c r="H20" s="200">
        <f t="shared" si="2"/>
        <v>1076622.5249637517</v>
      </c>
      <c r="I20" s="163">
        <f t="shared" si="3"/>
        <v>1076622</v>
      </c>
      <c r="J20" s="198">
        <f t="shared" si="4"/>
        <v>871832</v>
      </c>
      <c r="K20" s="199">
        <f t="shared" si="5"/>
        <v>204790</v>
      </c>
      <c r="M20" s="141" t="s">
        <v>19</v>
      </c>
      <c r="N20" s="141" t="s">
        <v>136</v>
      </c>
    </row>
    <row r="21" spans="1:14" ht="15" thickBot="1" x14ac:dyDescent="0.4">
      <c r="A21" s="290" t="s">
        <v>103</v>
      </c>
      <c r="B21" s="290"/>
      <c r="C21" s="290"/>
      <c r="D21" s="164">
        <v>19320922</v>
      </c>
      <c r="E21" s="164">
        <v>28981381</v>
      </c>
      <c r="F21" s="112">
        <f t="shared" ref="F21:H21" si="6">SUM(F12:F20)</f>
        <v>48302303</v>
      </c>
      <c r="G21" s="165">
        <f t="shared" si="6"/>
        <v>0.99999999999999989</v>
      </c>
      <c r="H21" s="166">
        <f t="shared" si="6"/>
        <v>15701460.600000001</v>
      </c>
      <c r="I21" s="167">
        <f>SUM(I12:I20)</f>
        <v>15701457</v>
      </c>
      <c r="J21" s="201">
        <f>SUM(J12:J20)</f>
        <v>12714796</v>
      </c>
      <c r="K21" s="202">
        <f>SUM(K12:K20)</f>
        <v>2986661</v>
      </c>
    </row>
    <row r="22" spans="1:14" x14ac:dyDescent="0.35">
      <c r="I22" s="203">
        <f>+B29-I21</f>
        <v>3.599999999627471</v>
      </c>
    </row>
    <row r="24" spans="1:14" x14ac:dyDescent="0.35">
      <c r="A24" s="168" t="s">
        <v>214</v>
      </c>
      <c r="B24" s="169" t="s">
        <v>59</v>
      </c>
      <c r="C24" s="204" t="s">
        <v>215</v>
      </c>
      <c r="E24" s="114" t="s">
        <v>123</v>
      </c>
      <c r="F24" s="114" t="s">
        <v>124</v>
      </c>
    </row>
    <row r="25" spans="1:14" x14ac:dyDescent="0.35">
      <c r="A25" s="142" t="s">
        <v>109</v>
      </c>
      <c r="B25" s="170">
        <v>42382663</v>
      </c>
      <c r="C25" s="205">
        <f>+B25/B27</f>
        <v>0.80978446680304383</v>
      </c>
      <c r="E25" s="116">
        <f>+J21</f>
        <v>12714796</v>
      </c>
      <c r="F25" s="117">
        <f>+B25-E25</f>
        <v>29667867</v>
      </c>
    </row>
    <row r="26" spans="1:14" x14ac:dyDescent="0.35">
      <c r="A26" s="142" t="s">
        <v>110</v>
      </c>
      <c r="B26" s="170">
        <f>10479515-523976</f>
        <v>9955539</v>
      </c>
      <c r="C26" s="205">
        <f>+B26/B27</f>
        <v>0.19021553319695622</v>
      </c>
      <c r="E26" s="116">
        <f>+K21</f>
        <v>2986661</v>
      </c>
      <c r="F26" s="117">
        <f>+B26-E26</f>
        <v>6968878</v>
      </c>
    </row>
    <row r="27" spans="1:14" x14ac:dyDescent="0.35">
      <c r="A27" s="143" t="s">
        <v>125</v>
      </c>
      <c r="B27" s="144">
        <f>SUM(B25:B26)</f>
        <v>52338202</v>
      </c>
      <c r="E27" s="116">
        <f>SUM(E25:E26)</f>
        <v>15701457</v>
      </c>
      <c r="F27" s="116">
        <f>SUM(F25:F26)</f>
        <v>36636745</v>
      </c>
    </row>
    <row r="28" spans="1:14" x14ac:dyDescent="0.35">
      <c r="A28" s="142" t="s">
        <v>216</v>
      </c>
      <c r="B28" s="206">
        <f>+A4</f>
        <v>0.3</v>
      </c>
      <c r="E28" s="171"/>
      <c r="F28" s="171"/>
    </row>
    <row r="29" spans="1:14" x14ac:dyDescent="0.35">
      <c r="A29" s="172" t="s">
        <v>217</v>
      </c>
      <c r="B29" s="173">
        <f>B27*B28</f>
        <v>15701460.6</v>
      </c>
    </row>
  </sheetData>
  <mergeCells count="4">
    <mergeCell ref="D9:G9"/>
    <mergeCell ref="H9:K10"/>
    <mergeCell ref="F10:G10"/>
    <mergeCell ref="A21:C21"/>
  </mergeCells>
  <pageMargins left="0.31496062992125984" right="0.31496062992125984" top="0.74803149606299213" bottom="0.74803149606299213" header="0.31496062992125984" footer="0.31496062992125984"/>
  <pageSetup paperSize="14" scale="8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A1:AB29"/>
  <sheetViews>
    <sheetView workbookViewId="0">
      <selection activeCell="C19" sqref="C19"/>
    </sheetView>
  </sheetViews>
  <sheetFormatPr baseColWidth="10" defaultRowHeight="14.5" x14ac:dyDescent="0.35"/>
  <cols>
    <col min="1" max="1" width="47" customWidth="1"/>
    <col min="2" max="2" width="14.1796875" customWidth="1"/>
    <col min="3" max="3" width="13.453125" customWidth="1"/>
    <col min="4" max="11" width="6.7265625" customWidth="1"/>
    <col min="12" max="12" width="9.453125" customWidth="1"/>
    <col min="13" max="20" width="6.7265625" customWidth="1"/>
    <col min="21" max="21" width="8.26953125" customWidth="1"/>
    <col min="22" max="23" width="9" customWidth="1"/>
    <col min="24" max="24" width="8.453125" customWidth="1"/>
    <col min="25" max="26" width="11.26953125" customWidth="1"/>
    <col min="27" max="27" width="23.453125" bestFit="1" customWidth="1"/>
  </cols>
  <sheetData>
    <row r="1" spans="1:28" x14ac:dyDescent="0.35">
      <c r="A1" s="15" t="s">
        <v>223</v>
      </c>
    </row>
    <row r="2" spans="1:28" x14ac:dyDescent="0.35">
      <c r="B2" s="108">
        <v>1</v>
      </c>
      <c r="C2" s="108">
        <v>2</v>
      </c>
      <c r="D2" s="108">
        <v>3</v>
      </c>
      <c r="E2" s="108">
        <v>4</v>
      </c>
      <c r="F2" s="108">
        <v>5</v>
      </c>
      <c r="G2" s="108">
        <v>6</v>
      </c>
      <c r="H2" s="108">
        <v>7</v>
      </c>
      <c r="I2" s="108">
        <v>8</v>
      </c>
      <c r="J2" s="108">
        <v>9</v>
      </c>
      <c r="K2" s="108">
        <v>10</v>
      </c>
      <c r="L2" s="108">
        <v>11</v>
      </c>
      <c r="M2" s="108">
        <v>12</v>
      </c>
      <c r="N2" s="108">
        <v>13</v>
      </c>
      <c r="O2" s="108">
        <v>14</v>
      </c>
      <c r="P2" s="108">
        <v>15</v>
      </c>
      <c r="Q2" s="108">
        <v>16</v>
      </c>
      <c r="R2" s="108">
        <v>17</v>
      </c>
      <c r="S2" s="108">
        <v>18</v>
      </c>
      <c r="T2" s="108">
        <v>19</v>
      </c>
      <c r="U2" s="108">
        <v>20</v>
      </c>
      <c r="V2" s="108">
        <v>21</v>
      </c>
      <c r="W2" s="108">
        <v>22</v>
      </c>
      <c r="X2" s="108">
        <v>23</v>
      </c>
      <c r="Y2" s="108">
        <v>24</v>
      </c>
      <c r="Z2" s="108">
        <v>25</v>
      </c>
      <c r="AA2" s="108">
        <v>26</v>
      </c>
    </row>
    <row r="3" spans="1:28" ht="35.25" customHeight="1" x14ac:dyDescent="0.35">
      <c r="B3" s="69"/>
      <c r="C3" s="69"/>
      <c r="D3" s="291" t="s">
        <v>106</v>
      </c>
      <c r="E3" s="291"/>
      <c r="F3" s="291"/>
      <c r="G3" s="291"/>
      <c r="H3" s="291"/>
      <c r="I3" s="291"/>
      <c r="J3" s="291"/>
      <c r="K3" s="291"/>
      <c r="L3" s="291"/>
      <c r="M3" s="291" t="s">
        <v>112</v>
      </c>
      <c r="N3" s="291"/>
      <c r="O3" s="291"/>
      <c r="P3" s="291"/>
      <c r="Q3" s="291"/>
      <c r="R3" s="291"/>
      <c r="S3" s="291"/>
      <c r="T3" s="291"/>
      <c r="U3" s="291"/>
      <c r="V3" s="291"/>
      <c r="W3" s="291"/>
      <c r="X3" s="69"/>
    </row>
    <row r="4" spans="1:28" ht="39.5" x14ac:dyDescent="0.35">
      <c r="A4" s="19" t="s">
        <v>8</v>
      </c>
      <c r="B4" t="s">
        <v>105</v>
      </c>
      <c r="C4" s="19" t="s">
        <v>16</v>
      </c>
      <c r="D4" s="94">
        <v>2</v>
      </c>
      <c r="E4" s="94">
        <v>3</v>
      </c>
      <c r="F4" s="94">
        <v>4</v>
      </c>
      <c r="G4" s="94">
        <v>5</v>
      </c>
      <c r="H4" s="94">
        <v>6</v>
      </c>
      <c r="I4" s="94">
        <v>7</v>
      </c>
      <c r="J4" s="94">
        <v>8</v>
      </c>
      <c r="K4" s="94">
        <v>9</v>
      </c>
      <c r="L4" s="95" t="s">
        <v>22</v>
      </c>
      <c r="M4" s="98">
        <v>2</v>
      </c>
      <c r="N4" s="98">
        <v>3</v>
      </c>
      <c r="O4" s="98">
        <v>4</v>
      </c>
      <c r="P4" s="98">
        <v>5</v>
      </c>
      <c r="Q4" s="98">
        <v>6</v>
      </c>
      <c r="R4" s="98">
        <v>7</v>
      </c>
      <c r="S4" s="98">
        <v>8</v>
      </c>
      <c r="T4" s="98">
        <v>9</v>
      </c>
      <c r="U4" s="99" t="s">
        <v>107</v>
      </c>
      <c r="V4" s="85" t="s">
        <v>108</v>
      </c>
      <c r="W4" s="85" t="s">
        <v>23</v>
      </c>
      <c r="X4" s="147" t="s">
        <v>24</v>
      </c>
      <c r="Y4" s="147" t="s">
        <v>203</v>
      </c>
      <c r="Z4" s="147" t="s">
        <v>25</v>
      </c>
      <c r="AA4" s="147" t="s">
        <v>56</v>
      </c>
    </row>
    <row r="5" spans="1:28" x14ac:dyDescent="0.35">
      <c r="A5" s="1" t="s">
        <v>9</v>
      </c>
      <c r="B5" s="1" t="s">
        <v>1</v>
      </c>
      <c r="C5" s="2" t="s">
        <v>17</v>
      </c>
      <c r="D5" s="96">
        <v>0</v>
      </c>
      <c r="E5" s="96">
        <v>0</v>
      </c>
      <c r="F5" s="96">
        <v>0</v>
      </c>
      <c r="G5" s="96">
        <v>0</v>
      </c>
      <c r="H5" s="96">
        <v>0</v>
      </c>
      <c r="I5" s="96">
        <v>1</v>
      </c>
      <c r="J5" s="96">
        <v>0</v>
      </c>
      <c r="K5" s="96">
        <v>0</v>
      </c>
      <c r="L5" s="96">
        <v>1</v>
      </c>
      <c r="M5" s="100">
        <v>0</v>
      </c>
      <c r="N5" s="100">
        <v>3</v>
      </c>
      <c r="O5" s="100">
        <v>3</v>
      </c>
      <c r="P5" s="100">
        <v>9</v>
      </c>
      <c r="Q5" s="100">
        <v>9</v>
      </c>
      <c r="R5" s="100">
        <v>7</v>
      </c>
      <c r="S5" s="100">
        <v>6</v>
      </c>
      <c r="T5" s="100">
        <v>1</v>
      </c>
      <c r="U5" s="100">
        <v>38</v>
      </c>
      <c r="V5" s="102">
        <v>39</v>
      </c>
      <c r="W5" s="102">
        <v>1</v>
      </c>
      <c r="X5" s="145">
        <f>U5+W5</f>
        <v>39</v>
      </c>
      <c r="Y5" s="146">
        <f>VLOOKUP(B5,'Publicaciones BD'!$B$4:$C$12,2,0)</f>
        <v>4337</v>
      </c>
      <c r="Z5" s="145" t="str">
        <f t="shared" ref="Z5:Z13" si="0">IF(AND(X5&gt;=10,Y5&gt;=300),"Categoría I",IF(AND(X5&gt;=1,Y5&gt;=100),"Categoría II","Categoría III"))</f>
        <v>Categoría I</v>
      </c>
      <c r="AA5" s="145" t="str">
        <f t="shared" ref="AA5:AA13" si="1">CONCATENATE(C5,Z5)</f>
        <v>CRUCH-PRIVADACategoría I</v>
      </c>
      <c r="AB5" t="s">
        <v>1</v>
      </c>
    </row>
    <row r="6" spans="1:28" x14ac:dyDescent="0.35">
      <c r="A6" s="1" t="s">
        <v>11</v>
      </c>
      <c r="B6" s="1" t="s">
        <v>3</v>
      </c>
      <c r="C6" s="2" t="s">
        <v>17</v>
      </c>
      <c r="D6" s="96">
        <v>0</v>
      </c>
      <c r="E6" s="96">
        <v>0</v>
      </c>
      <c r="F6" s="96">
        <v>0</v>
      </c>
      <c r="G6" s="96">
        <v>1</v>
      </c>
      <c r="H6" s="96">
        <v>2</v>
      </c>
      <c r="I6" s="96">
        <v>0</v>
      </c>
      <c r="J6" s="96">
        <v>0</v>
      </c>
      <c r="K6" s="96">
        <v>1</v>
      </c>
      <c r="L6" s="96">
        <v>4</v>
      </c>
      <c r="M6" s="100">
        <v>0</v>
      </c>
      <c r="N6" s="100">
        <v>3</v>
      </c>
      <c r="O6" s="100">
        <v>2</v>
      </c>
      <c r="P6" s="100">
        <v>4</v>
      </c>
      <c r="Q6" s="100">
        <v>0</v>
      </c>
      <c r="R6" s="100">
        <v>4</v>
      </c>
      <c r="S6" s="100">
        <v>1</v>
      </c>
      <c r="T6" s="100">
        <v>0</v>
      </c>
      <c r="U6" s="100">
        <v>14</v>
      </c>
      <c r="V6" s="102">
        <v>18</v>
      </c>
      <c r="W6" s="102">
        <v>4</v>
      </c>
      <c r="X6" s="145">
        <f t="shared" ref="X6:X13" si="2">U6+W6</f>
        <v>18</v>
      </c>
      <c r="Y6" s="146">
        <f>VLOOKUP(B6,'Publicaciones BD'!$B$4:$C$12,2,0)</f>
        <v>1017</v>
      </c>
      <c r="Z6" s="145" t="str">
        <f t="shared" si="0"/>
        <v>Categoría I</v>
      </c>
      <c r="AA6" s="145" t="str">
        <f t="shared" si="1"/>
        <v>CRUCH-PRIVADACategoría I</v>
      </c>
      <c r="AB6" t="s">
        <v>3</v>
      </c>
    </row>
    <row r="7" spans="1:28" x14ac:dyDescent="0.35">
      <c r="A7" s="1" t="s">
        <v>12</v>
      </c>
      <c r="B7" s="1" t="s">
        <v>4</v>
      </c>
      <c r="C7" s="2" t="s">
        <v>17</v>
      </c>
      <c r="D7" s="96">
        <v>0</v>
      </c>
      <c r="E7" s="96">
        <v>0</v>
      </c>
      <c r="F7" s="96">
        <v>1</v>
      </c>
      <c r="G7" s="96">
        <v>0</v>
      </c>
      <c r="H7" s="96">
        <v>0</v>
      </c>
      <c r="I7" s="96">
        <v>0</v>
      </c>
      <c r="J7" s="96">
        <v>0</v>
      </c>
      <c r="K7" s="96">
        <v>0</v>
      </c>
      <c r="L7" s="96">
        <v>1</v>
      </c>
      <c r="M7" s="100">
        <v>1</v>
      </c>
      <c r="N7" s="100">
        <v>1</v>
      </c>
      <c r="O7" s="100">
        <v>4</v>
      </c>
      <c r="P7" s="100">
        <v>1</v>
      </c>
      <c r="Q7" s="100">
        <v>3</v>
      </c>
      <c r="R7" s="100">
        <v>0</v>
      </c>
      <c r="S7" s="100">
        <v>1</v>
      </c>
      <c r="T7" s="100">
        <v>0</v>
      </c>
      <c r="U7" s="100">
        <v>11</v>
      </c>
      <c r="V7" s="102">
        <v>12</v>
      </c>
      <c r="W7" s="102">
        <v>0</v>
      </c>
      <c r="X7" s="145">
        <f t="shared" si="2"/>
        <v>11</v>
      </c>
      <c r="Y7" s="146">
        <f>VLOOKUP(B7,'Publicaciones BD'!$B$4:$C$12,2,0)</f>
        <v>867</v>
      </c>
      <c r="Z7" s="145" t="str">
        <f t="shared" si="0"/>
        <v>Categoría I</v>
      </c>
      <c r="AA7" s="145" t="str">
        <f t="shared" si="1"/>
        <v>CRUCH-PRIVADACategoría I</v>
      </c>
      <c r="AB7" t="s">
        <v>4</v>
      </c>
    </row>
    <row r="8" spans="1:28" x14ac:dyDescent="0.35">
      <c r="A8" s="1" t="s">
        <v>20</v>
      </c>
      <c r="B8" s="1" t="s">
        <v>19</v>
      </c>
      <c r="C8" s="2" t="s">
        <v>17</v>
      </c>
      <c r="D8" s="96">
        <v>0</v>
      </c>
      <c r="E8" s="96">
        <v>0</v>
      </c>
      <c r="F8" s="96">
        <v>1</v>
      </c>
      <c r="G8" s="96">
        <v>0</v>
      </c>
      <c r="H8" s="96">
        <v>0</v>
      </c>
      <c r="I8" s="96">
        <v>0</v>
      </c>
      <c r="J8" s="96">
        <v>0</v>
      </c>
      <c r="K8" s="96">
        <v>0</v>
      </c>
      <c r="L8" s="96">
        <v>1</v>
      </c>
      <c r="M8" s="100">
        <v>0</v>
      </c>
      <c r="N8" s="100">
        <v>3</v>
      </c>
      <c r="O8" s="100">
        <v>1</v>
      </c>
      <c r="P8" s="100">
        <v>0</v>
      </c>
      <c r="Q8" s="100">
        <v>0</v>
      </c>
      <c r="R8" s="100">
        <v>0</v>
      </c>
      <c r="S8" s="100">
        <v>0</v>
      </c>
      <c r="T8" s="100">
        <v>0</v>
      </c>
      <c r="U8" s="100">
        <v>4</v>
      </c>
      <c r="V8" s="102">
        <v>5</v>
      </c>
      <c r="W8" s="102">
        <v>0</v>
      </c>
      <c r="X8" s="145">
        <f t="shared" si="2"/>
        <v>4</v>
      </c>
      <c r="Y8" s="146">
        <f>VLOOKUP(B8,'Publicaciones BD'!$B$4:$C$12,2,0)</f>
        <v>440</v>
      </c>
      <c r="Z8" s="145" t="str">
        <f t="shared" si="0"/>
        <v>Categoría II</v>
      </c>
      <c r="AA8" s="145" t="str">
        <f t="shared" si="1"/>
        <v>CRUCH-PRIVADACategoría II</v>
      </c>
      <c r="AB8" t="s">
        <v>19</v>
      </c>
    </row>
    <row r="9" spans="1:28" x14ac:dyDescent="0.35">
      <c r="A9" s="1" t="s">
        <v>15</v>
      </c>
      <c r="B9" s="1" t="s">
        <v>7</v>
      </c>
      <c r="C9" s="2" t="s">
        <v>17</v>
      </c>
      <c r="D9" s="96">
        <v>0</v>
      </c>
      <c r="E9" s="96">
        <v>0</v>
      </c>
      <c r="F9" s="96">
        <v>1</v>
      </c>
      <c r="G9" s="96">
        <v>0</v>
      </c>
      <c r="H9" s="96">
        <v>0</v>
      </c>
      <c r="I9" s="96">
        <v>0</v>
      </c>
      <c r="J9" s="96">
        <v>0</v>
      </c>
      <c r="K9" s="96">
        <v>0</v>
      </c>
      <c r="L9" s="96">
        <v>1</v>
      </c>
      <c r="M9" s="100">
        <v>1</v>
      </c>
      <c r="N9" s="100">
        <v>2</v>
      </c>
      <c r="O9" s="100">
        <v>0</v>
      </c>
      <c r="P9" s="100">
        <v>1</v>
      </c>
      <c r="Q9" s="100">
        <v>0</v>
      </c>
      <c r="R9" s="100">
        <v>0</v>
      </c>
      <c r="S9" s="100">
        <v>0</v>
      </c>
      <c r="T9" s="100">
        <v>0</v>
      </c>
      <c r="U9" s="100">
        <v>4</v>
      </c>
      <c r="V9" s="102">
        <v>5</v>
      </c>
      <c r="W9" s="102">
        <v>0</v>
      </c>
      <c r="X9" s="145">
        <f t="shared" si="2"/>
        <v>4</v>
      </c>
      <c r="Y9" s="146">
        <f>VLOOKUP(B9,'Publicaciones BD'!$B$4:$C$12,2,0)</f>
        <v>344</v>
      </c>
      <c r="Z9" s="145" t="str">
        <f t="shared" si="0"/>
        <v>Categoría II</v>
      </c>
      <c r="AA9" s="145" t="str">
        <f t="shared" si="1"/>
        <v>CRUCH-PRIVADACategoría II</v>
      </c>
      <c r="AB9" t="s">
        <v>7</v>
      </c>
    </row>
    <row r="10" spans="1:28" x14ac:dyDescent="0.35">
      <c r="A10" s="1" t="s">
        <v>21</v>
      </c>
      <c r="B10" s="1" t="s">
        <v>18</v>
      </c>
      <c r="C10" s="2" t="s">
        <v>17</v>
      </c>
      <c r="D10" s="96">
        <v>0</v>
      </c>
      <c r="E10" s="96">
        <v>0</v>
      </c>
      <c r="F10" s="96">
        <v>1</v>
      </c>
      <c r="G10" s="96">
        <v>0</v>
      </c>
      <c r="H10" s="96">
        <v>0</v>
      </c>
      <c r="I10" s="96">
        <v>0</v>
      </c>
      <c r="J10" s="96">
        <v>0</v>
      </c>
      <c r="K10" s="96">
        <v>0</v>
      </c>
      <c r="L10" s="96">
        <v>1</v>
      </c>
      <c r="M10" s="100">
        <v>1</v>
      </c>
      <c r="N10" s="100">
        <v>3</v>
      </c>
      <c r="O10" s="100">
        <v>2</v>
      </c>
      <c r="P10" s="100">
        <v>0</v>
      </c>
      <c r="Q10" s="100">
        <v>2</v>
      </c>
      <c r="R10" s="100">
        <v>0</v>
      </c>
      <c r="S10" s="100">
        <v>0</v>
      </c>
      <c r="T10" s="100">
        <v>0</v>
      </c>
      <c r="U10" s="100">
        <v>8</v>
      </c>
      <c r="V10" s="102">
        <v>9</v>
      </c>
      <c r="W10" s="102">
        <v>0</v>
      </c>
      <c r="X10" s="145">
        <f t="shared" si="2"/>
        <v>8</v>
      </c>
      <c r="Y10" s="146">
        <f>VLOOKUP(B10,'Publicaciones BD'!$B$4:$C$12,2,0)</f>
        <v>619</v>
      </c>
      <c r="Z10" s="145" t="str">
        <f t="shared" si="0"/>
        <v>Categoría II</v>
      </c>
      <c r="AA10" s="145" t="str">
        <f t="shared" si="1"/>
        <v>CRUCH-PRIVADACategoría II</v>
      </c>
      <c r="AB10" t="s">
        <v>18</v>
      </c>
    </row>
    <row r="11" spans="1:28" x14ac:dyDescent="0.35">
      <c r="A11" s="1" t="s">
        <v>14</v>
      </c>
      <c r="B11" s="1" t="s">
        <v>6</v>
      </c>
      <c r="C11" s="2" t="s">
        <v>17</v>
      </c>
      <c r="D11" s="96">
        <v>0</v>
      </c>
      <c r="E11" s="96">
        <v>0</v>
      </c>
      <c r="F11" s="96">
        <v>0</v>
      </c>
      <c r="G11" s="96">
        <v>3</v>
      </c>
      <c r="H11" s="96">
        <v>1</v>
      </c>
      <c r="I11" s="96">
        <v>0</v>
      </c>
      <c r="J11" s="96">
        <v>0</v>
      </c>
      <c r="K11" s="96">
        <v>0</v>
      </c>
      <c r="L11" s="96">
        <v>4</v>
      </c>
      <c r="M11" s="100">
        <v>0</v>
      </c>
      <c r="N11" s="100">
        <v>2</v>
      </c>
      <c r="O11" s="100">
        <v>2</v>
      </c>
      <c r="P11" s="100">
        <v>2</v>
      </c>
      <c r="Q11" s="100">
        <v>0</v>
      </c>
      <c r="R11" s="100">
        <v>0</v>
      </c>
      <c r="S11" s="100">
        <v>0</v>
      </c>
      <c r="T11" s="100">
        <v>0</v>
      </c>
      <c r="U11" s="100">
        <v>6</v>
      </c>
      <c r="V11" s="102">
        <v>10</v>
      </c>
      <c r="W11" s="102">
        <v>4</v>
      </c>
      <c r="X11" s="145">
        <f t="shared" si="2"/>
        <v>10</v>
      </c>
      <c r="Y11" s="146">
        <f>VLOOKUP(B11,'Publicaciones BD'!$B$4:$C$12,2,0)</f>
        <v>714</v>
      </c>
      <c r="Z11" s="145" t="str">
        <f t="shared" si="0"/>
        <v>Categoría I</v>
      </c>
      <c r="AA11" s="145" t="str">
        <f t="shared" si="1"/>
        <v>CRUCH-PRIVADACategoría I</v>
      </c>
      <c r="AB11" t="s">
        <v>6</v>
      </c>
    </row>
    <row r="12" spans="1:28" x14ac:dyDescent="0.35">
      <c r="A12" s="1" t="s">
        <v>10</v>
      </c>
      <c r="B12" s="1" t="s">
        <v>2</v>
      </c>
      <c r="C12" s="2" t="s">
        <v>17</v>
      </c>
      <c r="D12" s="96">
        <v>0</v>
      </c>
      <c r="E12" s="96">
        <v>0</v>
      </c>
      <c r="F12" s="96">
        <v>0</v>
      </c>
      <c r="G12" s="96">
        <v>0</v>
      </c>
      <c r="H12" s="96">
        <v>0</v>
      </c>
      <c r="I12" s="96">
        <v>0</v>
      </c>
      <c r="J12" s="96">
        <v>0</v>
      </c>
      <c r="K12" s="96">
        <v>0</v>
      </c>
      <c r="L12" s="96">
        <v>0</v>
      </c>
      <c r="M12" s="100">
        <v>2</v>
      </c>
      <c r="N12" s="100">
        <v>5</v>
      </c>
      <c r="O12" s="100">
        <v>3</v>
      </c>
      <c r="P12" s="100">
        <v>5</v>
      </c>
      <c r="Q12" s="100">
        <v>7</v>
      </c>
      <c r="R12" s="100">
        <v>8</v>
      </c>
      <c r="S12" s="100">
        <v>2</v>
      </c>
      <c r="T12" s="100">
        <v>1</v>
      </c>
      <c r="U12" s="100">
        <v>33</v>
      </c>
      <c r="V12" s="102">
        <v>33</v>
      </c>
      <c r="W12" s="102">
        <v>0</v>
      </c>
      <c r="X12" s="145">
        <f t="shared" si="2"/>
        <v>33</v>
      </c>
      <c r="Y12" s="146">
        <f>VLOOKUP(B12,'Publicaciones BD'!$B$4:$C$12,2,0)</f>
        <v>1490</v>
      </c>
      <c r="Z12" s="145" t="str">
        <f t="shared" si="0"/>
        <v>Categoría I</v>
      </c>
      <c r="AA12" s="145" t="str">
        <f t="shared" si="1"/>
        <v>CRUCH-PRIVADACategoría I</v>
      </c>
      <c r="AB12" t="s">
        <v>2</v>
      </c>
    </row>
    <row r="13" spans="1:28" x14ac:dyDescent="0.35">
      <c r="A13" s="1" t="s">
        <v>13</v>
      </c>
      <c r="B13" s="1" t="s">
        <v>5</v>
      </c>
      <c r="C13" s="2" t="s">
        <v>17</v>
      </c>
      <c r="D13" s="96">
        <v>0</v>
      </c>
      <c r="E13" s="96">
        <v>0</v>
      </c>
      <c r="F13" s="96">
        <v>0</v>
      </c>
      <c r="G13" s="96">
        <v>1</v>
      </c>
      <c r="H13" s="96">
        <v>2</v>
      </c>
      <c r="I13" s="96">
        <v>0</v>
      </c>
      <c r="J13" s="96">
        <v>0</v>
      </c>
      <c r="K13" s="96">
        <v>1</v>
      </c>
      <c r="L13" s="96">
        <v>4</v>
      </c>
      <c r="M13" s="100">
        <v>1</v>
      </c>
      <c r="N13" s="100">
        <v>1</v>
      </c>
      <c r="O13" s="100">
        <v>1</v>
      </c>
      <c r="P13" s="100">
        <v>0</v>
      </c>
      <c r="Q13" s="100">
        <v>0</v>
      </c>
      <c r="R13" s="100">
        <v>0</v>
      </c>
      <c r="S13" s="100">
        <v>1</v>
      </c>
      <c r="T13" s="100">
        <v>0</v>
      </c>
      <c r="U13" s="100">
        <v>4</v>
      </c>
      <c r="V13" s="102">
        <v>8</v>
      </c>
      <c r="W13" s="102">
        <v>4</v>
      </c>
      <c r="X13" s="145">
        <f t="shared" si="2"/>
        <v>8</v>
      </c>
      <c r="Y13" s="146">
        <f>VLOOKUP(B13,'Publicaciones BD'!$B$4:$C$12,2,0)</f>
        <v>853</v>
      </c>
      <c r="Z13" s="145" t="str">
        <f t="shared" si="0"/>
        <v>Categoría II</v>
      </c>
      <c r="AA13" s="145" t="str">
        <f t="shared" si="1"/>
        <v>CRUCH-PRIVADACategoría II</v>
      </c>
      <c r="AB13" t="s">
        <v>5</v>
      </c>
    </row>
    <row r="14" spans="1:28" x14ac:dyDescent="0.35">
      <c r="A14" s="1"/>
      <c r="B14" s="1"/>
      <c r="C14" s="2" t="s">
        <v>103</v>
      </c>
      <c r="D14" s="97">
        <v>0</v>
      </c>
      <c r="E14" s="97">
        <v>0</v>
      </c>
      <c r="F14" s="97">
        <v>4</v>
      </c>
      <c r="G14" s="97">
        <v>5</v>
      </c>
      <c r="H14" s="97">
        <v>5</v>
      </c>
      <c r="I14" s="97">
        <v>1</v>
      </c>
      <c r="J14" s="97">
        <v>0</v>
      </c>
      <c r="K14" s="97">
        <v>2</v>
      </c>
      <c r="L14" s="97">
        <v>17</v>
      </c>
      <c r="M14" s="101">
        <v>6</v>
      </c>
      <c r="N14" s="101">
        <v>23</v>
      </c>
      <c r="O14" s="101">
        <v>18</v>
      </c>
      <c r="P14" s="101">
        <v>22</v>
      </c>
      <c r="Q14" s="101">
        <v>21</v>
      </c>
      <c r="R14" s="101">
        <v>19</v>
      </c>
      <c r="S14" s="101">
        <v>11</v>
      </c>
      <c r="T14" s="101">
        <v>2</v>
      </c>
      <c r="U14" s="101">
        <v>122</v>
      </c>
      <c r="V14" s="103">
        <v>139</v>
      </c>
      <c r="W14" s="103">
        <v>13</v>
      </c>
      <c r="X14" s="148">
        <f t="shared" ref="X14:Y14" si="3">SUM(X5:X13)</f>
        <v>135</v>
      </c>
      <c r="Y14" s="149">
        <f t="shared" si="3"/>
        <v>10681</v>
      </c>
      <c r="Z14" s="1"/>
    </row>
    <row r="17" spans="1:6" x14ac:dyDescent="0.35">
      <c r="A17" s="7" t="s">
        <v>51</v>
      </c>
      <c r="B17" s="7" t="s">
        <v>57</v>
      </c>
      <c r="C17" s="7" t="s">
        <v>55</v>
      </c>
      <c r="F17" s="7"/>
    </row>
    <row r="18" spans="1:6" x14ac:dyDescent="0.35">
      <c r="A18" s="1" t="s">
        <v>52</v>
      </c>
      <c r="B18" s="1">
        <f>COUNTIF($AA$4:$AA$13,A18)</f>
        <v>5</v>
      </c>
      <c r="C18" s="1">
        <f>(3*$B$18)+(2*$B$19)+$B$20</f>
        <v>23</v>
      </c>
      <c r="F18" s="5"/>
    </row>
    <row r="19" spans="1:6" x14ac:dyDescent="0.35">
      <c r="A19" s="1" t="s">
        <v>53</v>
      </c>
      <c r="B19" s="1">
        <f>COUNTIF($AA$4:$AA$13,A19)</f>
        <v>4</v>
      </c>
      <c r="C19" s="1">
        <f>(3*$B$18)+(2*$B$19)+$B$20</f>
        <v>23</v>
      </c>
      <c r="F19" s="5"/>
    </row>
    <row r="20" spans="1:6" x14ac:dyDescent="0.35">
      <c r="A20" s="1" t="s">
        <v>54</v>
      </c>
      <c r="B20" s="1">
        <f>COUNTIF($AA$4:$AA$13,A20)</f>
        <v>0</v>
      </c>
      <c r="C20" s="1">
        <f>(3*$B$18)+(2*$B$19)+$B$20</f>
        <v>23</v>
      </c>
      <c r="F20" s="5"/>
    </row>
    <row r="21" spans="1:6" x14ac:dyDescent="0.35">
      <c r="A21" s="1"/>
      <c r="B21" s="1">
        <f>SUM(B18:B20)</f>
        <v>9</v>
      </c>
      <c r="C21" s="1"/>
      <c r="F21" s="6"/>
    </row>
    <row r="23" spans="1:6" x14ac:dyDescent="0.35">
      <c r="A23" s="7" t="s">
        <v>58</v>
      </c>
      <c r="B23" s="7" t="s">
        <v>59</v>
      </c>
    </row>
    <row r="24" spans="1:6" x14ac:dyDescent="0.35">
      <c r="A24" s="1" t="s">
        <v>17</v>
      </c>
      <c r="B24" s="59">
        <f>'Montos BD 2025'!I27</f>
        <v>31088910.399999999</v>
      </c>
    </row>
    <row r="25" spans="1:6" x14ac:dyDescent="0.35">
      <c r="A25" s="7" t="s">
        <v>25</v>
      </c>
      <c r="B25" s="7" t="s">
        <v>60</v>
      </c>
      <c r="C25" s="7" t="s">
        <v>71</v>
      </c>
    </row>
    <row r="26" spans="1:6" x14ac:dyDescent="0.35">
      <c r="A26" s="1" t="s">
        <v>52</v>
      </c>
      <c r="B26" s="55">
        <f>($B$24*3*B18)/C18</f>
        <v>20275376.347826086</v>
      </c>
      <c r="C26" s="55">
        <f>ROUND(B26,0)</f>
        <v>20275376</v>
      </c>
    </row>
    <row r="27" spans="1:6" x14ac:dyDescent="0.35">
      <c r="A27" s="1" t="s">
        <v>53</v>
      </c>
      <c r="B27" s="55">
        <f>($B$24*2*B19)/C19</f>
        <v>10813534.052173913</v>
      </c>
      <c r="C27" s="55">
        <f>ROUND(B27,0)</f>
        <v>10813534</v>
      </c>
    </row>
    <row r="28" spans="1:6" x14ac:dyDescent="0.35">
      <c r="A28" s="1" t="s">
        <v>54</v>
      </c>
      <c r="B28" s="55">
        <f>($B$24*1*B20)/C20</f>
        <v>0</v>
      </c>
      <c r="C28" s="55">
        <f>ROUND(B28,0)</f>
        <v>0</v>
      </c>
    </row>
    <row r="29" spans="1:6" x14ac:dyDescent="0.35">
      <c r="B29" s="56">
        <f>SUM(B26:B28)</f>
        <v>31088910.399999999</v>
      </c>
      <c r="C29" s="56">
        <f>SUM(C26:C28)</f>
        <v>31088910</v>
      </c>
    </row>
  </sheetData>
  <mergeCells count="2">
    <mergeCell ref="D3:L3"/>
    <mergeCell ref="M3:W3"/>
  </mergeCells>
  <pageMargins left="0.70866141732283472" right="0.70866141732283472" top="0.74803149606299213" bottom="0.74803149606299213" header="0.31496062992125984" footer="0.31496062992125984"/>
  <pageSetup scale="90" orientation="landscape" verticalDpi="0" r:id="rId1"/>
  <ignoredErrors>
    <ignoredError sqref="X14:Y14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A1:AA20"/>
  <sheetViews>
    <sheetView topLeftCell="L1" zoomScale="90" zoomScaleNormal="90" workbookViewId="0">
      <selection activeCell="AA9" sqref="AA9"/>
    </sheetView>
  </sheetViews>
  <sheetFormatPr baseColWidth="10" defaultRowHeight="14.5" x14ac:dyDescent="0.35"/>
  <cols>
    <col min="1" max="1" width="46.54296875" bestFit="1" customWidth="1"/>
    <col min="4" max="4" width="12.81640625" customWidth="1"/>
  </cols>
  <sheetData>
    <row r="1" spans="1:27" x14ac:dyDescent="0.35">
      <c r="E1" t="s">
        <v>128</v>
      </c>
      <c r="F1" t="s">
        <v>128</v>
      </c>
      <c r="G1" t="s">
        <v>128</v>
      </c>
      <c r="H1" t="s">
        <v>128</v>
      </c>
      <c r="I1" t="s">
        <v>128</v>
      </c>
      <c r="J1" t="s">
        <v>128</v>
      </c>
      <c r="K1" t="s">
        <v>129</v>
      </c>
      <c r="L1" t="s">
        <v>129</v>
      </c>
      <c r="M1" t="s">
        <v>129</v>
      </c>
      <c r="N1" t="s">
        <v>128</v>
      </c>
      <c r="O1" t="s">
        <v>128</v>
      </c>
      <c r="P1" t="s">
        <v>128</v>
      </c>
      <c r="Q1" t="s">
        <v>128</v>
      </c>
      <c r="R1" t="s">
        <v>128</v>
      </c>
      <c r="S1" t="s">
        <v>128</v>
      </c>
      <c r="T1" t="s">
        <v>128</v>
      </c>
      <c r="U1" t="s">
        <v>128</v>
      </c>
      <c r="V1" t="s">
        <v>128</v>
      </c>
      <c r="W1" t="s">
        <v>128</v>
      </c>
      <c r="X1" t="s">
        <v>130</v>
      </c>
      <c r="Y1" t="s">
        <v>130</v>
      </c>
    </row>
    <row r="2" spans="1:27" x14ac:dyDescent="0.35">
      <c r="E2" s="109">
        <v>1</v>
      </c>
      <c r="F2" s="109">
        <v>2</v>
      </c>
      <c r="G2" s="109">
        <v>3</v>
      </c>
      <c r="H2" s="109">
        <v>4</v>
      </c>
      <c r="I2" s="109">
        <v>5</v>
      </c>
      <c r="J2" s="109">
        <v>6</v>
      </c>
      <c r="K2" s="109">
        <v>7</v>
      </c>
      <c r="L2" s="109">
        <v>8</v>
      </c>
      <c r="M2" s="109">
        <v>9</v>
      </c>
      <c r="N2" s="109">
        <v>10</v>
      </c>
      <c r="O2" s="109">
        <v>11</v>
      </c>
      <c r="P2" s="109">
        <v>12</v>
      </c>
      <c r="Q2" s="109">
        <v>13</v>
      </c>
      <c r="R2" s="109">
        <v>14</v>
      </c>
      <c r="S2" s="109">
        <v>15</v>
      </c>
      <c r="T2" s="109">
        <v>16</v>
      </c>
      <c r="U2" s="109">
        <v>17</v>
      </c>
      <c r="V2" s="109">
        <v>18</v>
      </c>
      <c r="W2" s="109">
        <v>19</v>
      </c>
      <c r="X2" s="109">
        <v>20</v>
      </c>
      <c r="Y2" s="109">
        <v>21</v>
      </c>
    </row>
    <row r="3" spans="1:27" ht="46.5" customHeight="1" x14ac:dyDescent="0.35">
      <c r="A3" s="229" t="s">
        <v>8</v>
      </c>
      <c r="B3" s="229" t="s">
        <v>0</v>
      </c>
      <c r="C3" s="229" t="s">
        <v>16</v>
      </c>
      <c r="D3" s="103" t="s">
        <v>25</v>
      </c>
      <c r="E3" s="224" t="s">
        <v>162</v>
      </c>
      <c r="F3" s="224" t="s">
        <v>163</v>
      </c>
      <c r="G3" s="224" t="s">
        <v>164</v>
      </c>
      <c r="H3" s="224" t="s">
        <v>165</v>
      </c>
      <c r="I3" s="224" t="s">
        <v>166</v>
      </c>
      <c r="J3" s="224" t="s">
        <v>167</v>
      </c>
      <c r="K3" s="225" t="s">
        <v>168</v>
      </c>
      <c r="L3" s="225" t="s">
        <v>169</v>
      </c>
      <c r="M3" s="225" t="s">
        <v>170</v>
      </c>
      <c r="N3" s="224" t="s">
        <v>171</v>
      </c>
      <c r="O3" s="224" t="s">
        <v>172</v>
      </c>
      <c r="P3" s="224" t="s">
        <v>173</v>
      </c>
      <c r="Q3" s="224" t="s">
        <v>174</v>
      </c>
      <c r="R3" s="224" t="s">
        <v>175</v>
      </c>
      <c r="S3" s="224" t="s">
        <v>176</v>
      </c>
      <c r="T3" s="224" t="s">
        <v>177</v>
      </c>
      <c r="U3" s="224" t="s">
        <v>132</v>
      </c>
      <c r="V3" s="224" t="s">
        <v>144</v>
      </c>
      <c r="W3" s="224" t="s">
        <v>178</v>
      </c>
      <c r="X3" s="224" t="s">
        <v>179</v>
      </c>
      <c r="Y3" s="224" t="s">
        <v>145</v>
      </c>
    </row>
    <row r="4" spans="1:27" x14ac:dyDescent="0.35">
      <c r="A4" s="102" t="str">
        <f>Categorías!A5</f>
        <v>PONTIFICIA UNIVERSIDAD CATÓLICA DE CHILE</v>
      </c>
      <c r="B4" s="102" t="str">
        <f>Categorías!B5</f>
        <v>PUC</v>
      </c>
      <c r="C4" s="228" t="str">
        <f>Categorías!C5</f>
        <v>CRUCH-PRIVADA</v>
      </c>
      <c r="D4" s="102" t="str">
        <f>Categorías!Z5</f>
        <v>Categoría I</v>
      </c>
      <c r="E4" s="131">
        <v>1550</v>
      </c>
      <c r="F4" s="131">
        <v>37685</v>
      </c>
      <c r="G4" s="131">
        <v>1132.0227272727259</v>
      </c>
      <c r="H4" s="131">
        <v>2263.0340909090892</v>
      </c>
      <c r="I4" s="132">
        <v>552.39204545454504</v>
      </c>
      <c r="J4" s="132">
        <v>380.06818181818187</v>
      </c>
      <c r="K4" s="39">
        <v>4337</v>
      </c>
      <c r="L4" s="39">
        <v>292035</v>
      </c>
      <c r="M4" s="39">
        <v>21379</v>
      </c>
      <c r="N4" s="133">
        <v>2172</v>
      </c>
      <c r="O4" s="133">
        <v>6468</v>
      </c>
      <c r="P4" s="133">
        <v>5261</v>
      </c>
      <c r="Q4" s="133">
        <v>5906</v>
      </c>
      <c r="R4" s="134">
        <v>4807</v>
      </c>
      <c r="S4" s="134">
        <v>5704</v>
      </c>
      <c r="T4" s="131">
        <v>25</v>
      </c>
      <c r="U4" s="131">
        <v>217</v>
      </c>
      <c r="V4" s="131">
        <v>215</v>
      </c>
      <c r="W4" s="131">
        <v>244</v>
      </c>
      <c r="X4" s="131">
        <v>25</v>
      </c>
      <c r="Y4" s="131">
        <v>13</v>
      </c>
      <c r="Z4" s="40"/>
      <c r="AA4" s="41"/>
    </row>
    <row r="5" spans="1:27" x14ac:dyDescent="0.35">
      <c r="A5" s="102" t="str">
        <f>Categorías!A6</f>
        <v>PONTIFICIA UNIVERSIDAD CATÓLICA DE VALPARAÍSO</v>
      </c>
      <c r="B5" s="102" t="str">
        <f>Categorías!B6</f>
        <v>UCV</v>
      </c>
      <c r="C5" s="228" t="str">
        <f>Categorías!C6</f>
        <v>CRUCH-PRIVADA</v>
      </c>
      <c r="D5" s="102" t="str">
        <f>Categorías!Z6</f>
        <v>Categoría I</v>
      </c>
      <c r="E5" s="131">
        <v>616</v>
      </c>
      <c r="F5" s="131">
        <v>18217</v>
      </c>
      <c r="G5" s="131">
        <v>475.02045454545441</v>
      </c>
      <c r="H5" s="131">
        <v>735.98181818181797</v>
      </c>
      <c r="I5" s="132">
        <v>177.40909090909074</v>
      </c>
      <c r="J5" s="132">
        <v>0</v>
      </c>
      <c r="K5" s="39">
        <v>1017</v>
      </c>
      <c r="L5" s="39">
        <v>45948</v>
      </c>
      <c r="M5" s="39">
        <v>4905</v>
      </c>
      <c r="N5" s="133">
        <v>2247</v>
      </c>
      <c r="O5" s="133">
        <v>3404</v>
      </c>
      <c r="P5" s="133">
        <v>2588</v>
      </c>
      <c r="Q5" s="133">
        <v>3221</v>
      </c>
      <c r="R5" s="134">
        <v>2529</v>
      </c>
      <c r="S5" s="134">
        <v>3383</v>
      </c>
      <c r="T5" s="131">
        <v>6</v>
      </c>
      <c r="U5" s="131">
        <v>47</v>
      </c>
      <c r="V5" s="131">
        <v>58</v>
      </c>
      <c r="W5" s="131">
        <v>71</v>
      </c>
      <c r="X5" s="131">
        <v>1</v>
      </c>
      <c r="Y5" s="131">
        <v>1</v>
      </c>
      <c r="Z5" s="40"/>
      <c r="AA5" s="41"/>
    </row>
    <row r="6" spans="1:27" x14ac:dyDescent="0.35">
      <c r="A6" s="102" t="str">
        <f>Categorías!A7</f>
        <v>UNIVERSIDAD AUSTRAL DE CHILE</v>
      </c>
      <c r="B6" s="102" t="str">
        <f>Categorías!B7</f>
        <v>AUS</v>
      </c>
      <c r="C6" s="228" t="str">
        <f>Categorías!C7</f>
        <v>CRUCH-PRIVADA</v>
      </c>
      <c r="D6" s="102" t="str">
        <f>Categorías!Z7</f>
        <v>Categoría I</v>
      </c>
      <c r="E6" s="131">
        <v>864</v>
      </c>
      <c r="F6" s="131">
        <v>18394</v>
      </c>
      <c r="G6" s="131">
        <v>546.68181818181813</v>
      </c>
      <c r="H6" s="131">
        <v>973.68181818181802</v>
      </c>
      <c r="I6" s="132">
        <v>287.45454545454544</v>
      </c>
      <c r="J6" s="132">
        <v>41.409090909090907</v>
      </c>
      <c r="K6" s="39">
        <v>867</v>
      </c>
      <c r="L6" s="39">
        <v>41928</v>
      </c>
      <c r="M6" s="39">
        <v>4641</v>
      </c>
      <c r="N6" s="133">
        <v>2249</v>
      </c>
      <c r="O6" s="133">
        <v>3195</v>
      </c>
      <c r="P6" s="133">
        <v>2525</v>
      </c>
      <c r="Q6" s="133">
        <v>3021</v>
      </c>
      <c r="R6" s="134">
        <v>2465</v>
      </c>
      <c r="S6" s="134">
        <v>3454</v>
      </c>
      <c r="T6" s="131">
        <v>1</v>
      </c>
      <c r="U6" s="131">
        <v>52</v>
      </c>
      <c r="V6" s="131">
        <v>39</v>
      </c>
      <c r="W6" s="131">
        <v>44</v>
      </c>
      <c r="X6" s="131">
        <v>0</v>
      </c>
      <c r="Y6" s="131">
        <v>0</v>
      </c>
      <c r="Z6" s="40"/>
      <c r="AA6" s="41"/>
    </row>
    <row r="7" spans="1:27" x14ac:dyDescent="0.35">
      <c r="A7" s="102" t="str">
        <f>Categorías!A8</f>
        <v>UNIVERSIDAD CATÓLICA DE LA SANTÍSIMA CONCEPCIÓN</v>
      </c>
      <c r="B7" s="102" t="str">
        <f>Categorías!B8</f>
        <v>USC</v>
      </c>
      <c r="C7" s="228" t="str">
        <f>Categorías!C8</f>
        <v>CRUCH-PRIVADA</v>
      </c>
      <c r="D7" s="102" t="str">
        <f>Categorías!Z8</f>
        <v>Categoría II</v>
      </c>
      <c r="E7" s="131">
        <v>339</v>
      </c>
      <c r="F7" s="131">
        <v>14304</v>
      </c>
      <c r="G7" s="131">
        <v>203.59090909090904</v>
      </c>
      <c r="H7" s="131">
        <v>604.22727272727218</v>
      </c>
      <c r="I7" s="132">
        <v>196.04545454545399</v>
      </c>
      <c r="J7" s="132">
        <v>38.659090909090892</v>
      </c>
      <c r="K7" s="39">
        <v>440</v>
      </c>
      <c r="L7" s="39">
        <v>15546</v>
      </c>
      <c r="M7" s="39">
        <v>2084</v>
      </c>
      <c r="N7" s="133">
        <v>1600</v>
      </c>
      <c r="O7" s="133">
        <v>2005</v>
      </c>
      <c r="P7" s="133">
        <v>1527</v>
      </c>
      <c r="Q7" s="133">
        <v>1759</v>
      </c>
      <c r="R7" s="134">
        <v>1358</v>
      </c>
      <c r="S7" s="134">
        <v>1800</v>
      </c>
      <c r="T7" s="131">
        <v>3</v>
      </c>
      <c r="U7" s="131">
        <v>8</v>
      </c>
      <c r="V7" s="131">
        <v>11</v>
      </c>
      <c r="W7" s="131">
        <v>10</v>
      </c>
      <c r="X7" s="131">
        <v>4</v>
      </c>
      <c r="Y7" s="131">
        <v>1</v>
      </c>
      <c r="Z7" s="40"/>
      <c r="AA7" s="41"/>
    </row>
    <row r="8" spans="1:27" x14ac:dyDescent="0.35">
      <c r="A8" s="102" t="str">
        <f>Categorías!A9</f>
        <v>UNIVERSIDAD CATÓLICA DE TEMUCO</v>
      </c>
      <c r="B8" s="102" t="str">
        <f>Categorías!B9</f>
        <v>UCT</v>
      </c>
      <c r="C8" s="228" t="str">
        <f>Categorías!C9</f>
        <v>CRUCH-PRIVADA</v>
      </c>
      <c r="D8" s="102" t="str">
        <f>Categorías!Z9</f>
        <v>Categoría II</v>
      </c>
      <c r="E8" s="131">
        <v>405</v>
      </c>
      <c r="F8" s="131">
        <v>11625</v>
      </c>
      <c r="G8" s="131">
        <v>215.05431818181819</v>
      </c>
      <c r="H8" s="131">
        <v>616.51386363636368</v>
      </c>
      <c r="I8" s="132">
        <v>224.37318181818185</v>
      </c>
      <c r="J8" s="132">
        <v>0</v>
      </c>
      <c r="K8" s="39">
        <v>344</v>
      </c>
      <c r="L8" s="39">
        <v>8705</v>
      </c>
      <c r="M8" s="39">
        <v>1662</v>
      </c>
      <c r="N8" s="133">
        <v>1955</v>
      </c>
      <c r="O8" s="133">
        <v>2343</v>
      </c>
      <c r="P8" s="133">
        <v>1419</v>
      </c>
      <c r="Q8" s="133">
        <v>1699</v>
      </c>
      <c r="R8" s="134">
        <v>1283</v>
      </c>
      <c r="S8" s="134">
        <v>1777</v>
      </c>
      <c r="T8" s="131">
        <v>5</v>
      </c>
      <c r="U8" s="131">
        <v>11</v>
      </c>
      <c r="V8" s="131">
        <v>8</v>
      </c>
      <c r="W8" s="131">
        <v>12</v>
      </c>
      <c r="X8" s="131">
        <v>0</v>
      </c>
      <c r="Y8" s="131">
        <v>0</v>
      </c>
      <c r="Z8" s="40"/>
      <c r="AA8" s="41"/>
    </row>
    <row r="9" spans="1:27" x14ac:dyDescent="0.35">
      <c r="A9" s="102" t="str">
        <f>Categorías!A10</f>
        <v>UNIVERSIDAD CATÓLICA DEL MAULE</v>
      </c>
      <c r="B9" s="102" t="str">
        <f>Categorías!B10</f>
        <v>UCM</v>
      </c>
      <c r="C9" s="228" t="str">
        <f>Categorías!C10</f>
        <v>CRUCH-PRIVADA</v>
      </c>
      <c r="D9" s="102" t="str">
        <f>Categorías!Z10</f>
        <v>Categoría II</v>
      </c>
      <c r="E9" s="131">
        <v>448</v>
      </c>
      <c r="F9" s="131">
        <v>12446</v>
      </c>
      <c r="G9" s="131">
        <v>279.57159090909062</v>
      </c>
      <c r="H9" s="131">
        <v>678.68568181818148</v>
      </c>
      <c r="I9" s="132">
        <v>213.34136363636361</v>
      </c>
      <c r="J9" s="132">
        <v>45.033409090909146</v>
      </c>
      <c r="K9" s="39">
        <v>619</v>
      </c>
      <c r="L9" s="39">
        <v>18052</v>
      </c>
      <c r="M9" s="39">
        <v>2680</v>
      </c>
      <c r="N9" s="133">
        <v>2142</v>
      </c>
      <c r="O9" s="133">
        <v>2579</v>
      </c>
      <c r="P9" s="133">
        <v>2098</v>
      </c>
      <c r="Q9" s="133">
        <v>2375</v>
      </c>
      <c r="R9" s="134">
        <v>1868</v>
      </c>
      <c r="S9" s="134">
        <v>2395</v>
      </c>
      <c r="T9" s="131">
        <v>4</v>
      </c>
      <c r="U9" s="131">
        <v>12</v>
      </c>
      <c r="V9" s="131">
        <v>14</v>
      </c>
      <c r="W9" s="131">
        <v>11</v>
      </c>
      <c r="X9" s="131">
        <v>0</v>
      </c>
      <c r="Y9" s="131">
        <v>0</v>
      </c>
      <c r="Z9" s="40"/>
      <c r="AA9" s="41"/>
    </row>
    <row r="10" spans="1:27" x14ac:dyDescent="0.35">
      <c r="A10" s="102" t="str">
        <f>Categorías!A11</f>
        <v>UNIVERSIDAD CATÓLICA DEL NORTE</v>
      </c>
      <c r="B10" s="102" t="str">
        <f>Categorías!B11</f>
        <v>UCN</v>
      </c>
      <c r="C10" s="228" t="str">
        <f>Categorías!C11</f>
        <v>CRUCH-PRIVADA</v>
      </c>
      <c r="D10" s="102" t="str">
        <f>Categorías!Z11</f>
        <v>Categoría I</v>
      </c>
      <c r="E10" s="131">
        <v>450</v>
      </c>
      <c r="F10" s="131">
        <v>11390</v>
      </c>
      <c r="G10" s="131">
        <v>260.06181818181921</v>
      </c>
      <c r="H10" s="131">
        <v>591.96590909090969</v>
      </c>
      <c r="I10" s="132">
        <v>156.91590909090897</v>
      </c>
      <c r="J10" s="132">
        <v>17.71386363636363</v>
      </c>
      <c r="K10" s="39">
        <v>714</v>
      </c>
      <c r="L10" s="39">
        <v>33481</v>
      </c>
      <c r="M10" s="39">
        <v>3265</v>
      </c>
      <c r="N10" s="133">
        <v>1337</v>
      </c>
      <c r="O10" s="133">
        <v>2426</v>
      </c>
      <c r="P10" s="133">
        <v>1736</v>
      </c>
      <c r="Q10" s="133">
        <v>2054</v>
      </c>
      <c r="R10" s="134">
        <v>1386</v>
      </c>
      <c r="S10" s="134">
        <v>2040</v>
      </c>
      <c r="T10" s="131">
        <v>1</v>
      </c>
      <c r="U10" s="131">
        <v>21</v>
      </c>
      <c r="V10" s="131">
        <v>29</v>
      </c>
      <c r="W10" s="131">
        <v>14</v>
      </c>
      <c r="X10" s="131">
        <v>0</v>
      </c>
      <c r="Y10" s="131">
        <v>4</v>
      </c>
      <c r="Z10" s="40"/>
      <c r="AA10" s="41"/>
    </row>
    <row r="11" spans="1:27" x14ac:dyDescent="0.35">
      <c r="A11" s="102" t="str">
        <f>Categorías!A12</f>
        <v>UNIVERSIDAD DE CONCEPCIÓN</v>
      </c>
      <c r="B11" s="102" t="str">
        <f>Categorías!B12</f>
        <v>UCO</v>
      </c>
      <c r="C11" s="228" t="str">
        <f>Categorías!C12</f>
        <v>CRUCH-PRIVADA</v>
      </c>
      <c r="D11" s="102" t="str">
        <f>Categorías!Z12</f>
        <v>Categoría I</v>
      </c>
      <c r="E11" s="131">
        <v>1187</v>
      </c>
      <c r="F11" s="131">
        <v>28952</v>
      </c>
      <c r="G11" s="131">
        <v>891.52272727272725</v>
      </c>
      <c r="H11" s="131">
        <v>1495.3636363636363</v>
      </c>
      <c r="I11" s="132">
        <v>384.97727272727269</v>
      </c>
      <c r="J11" s="132">
        <v>95.977272727272705</v>
      </c>
      <c r="K11" s="39">
        <v>1490</v>
      </c>
      <c r="L11" s="39">
        <v>95677</v>
      </c>
      <c r="M11" s="39">
        <v>7944</v>
      </c>
      <c r="N11" s="133">
        <v>2953</v>
      </c>
      <c r="O11" s="133">
        <v>4464</v>
      </c>
      <c r="P11" s="133">
        <v>3636</v>
      </c>
      <c r="Q11" s="133">
        <v>4265</v>
      </c>
      <c r="R11" s="134">
        <v>3444</v>
      </c>
      <c r="S11" s="134">
        <v>4428</v>
      </c>
      <c r="T11" s="131">
        <v>20</v>
      </c>
      <c r="U11" s="131">
        <v>117</v>
      </c>
      <c r="V11" s="131">
        <v>117</v>
      </c>
      <c r="W11" s="131">
        <v>108</v>
      </c>
      <c r="X11" s="131">
        <v>7</v>
      </c>
      <c r="Y11" s="131">
        <v>3</v>
      </c>
      <c r="Z11" s="40"/>
      <c r="AA11" s="41"/>
    </row>
    <row r="12" spans="1:27" x14ac:dyDescent="0.35">
      <c r="A12" s="102" t="str">
        <f>Categorías!A13</f>
        <v>UNIVERSIDAD TÉCNICA FEDERICO SANTA MARÍA</v>
      </c>
      <c r="B12" s="102" t="str">
        <f>Categorías!B13</f>
        <v>FSM</v>
      </c>
      <c r="C12" s="228" t="str">
        <f>Categorías!C13</f>
        <v>CRUCH-PRIVADA</v>
      </c>
      <c r="D12" s="102" t="str">
        <f>Categorías!Z13</f>
        <v>Categoría II</v>
      </c>
      <c r="E12" s="131">
        <v>510</v>
      </c>
      <c r="F12" s="131">
        <v>22855</v>
      </c>
      <c r="G12" s="131">
        <v>363.10545454545343</v>
      </c>
      <c r="H12" s="131">
        <v>813.81772727272676</v>
      </c>
      <c r="I12" s="132">
        <v>308.1440909090914</v>
      </c>
      <c r="J12" s="132">
        <v>0</v>
      </c>
      <c r="K12" s="39">
        <v>853</v>
      </c>
      <c r="L12" s="39">
        <v>48948</v>
      </c>
      <c r="M12" s="39">
        <v>4029</v>
      </c>
      <c r="N12" s="133">
        <v>1517</v>
      </c>
      <c r="O12" s="133">
        <v>2700</v>
      </c>
      <c r="P12" s="133">
        <v>2064</v>
      </c>
      <c r="Q12" s="133">
        <v>2555</v>
      </c>
      <c r="R12" s="134">
        <v>1946</v>
      </c>
      <c r="S12" s="134">
        <v>2693</v>
      </c>
      <c r="T12" s="131">
        <v>1</v>
      </c>
      <c r="U12" s="131">
        <v>29</v>
      </c>
      <c r="V12" s="131">
        <v>36</v>
      </c>
      <c r="W12" s="131">
        <v>40</v>
      </c>
      <c r="X12" s="131">
        <v>3</v>
      </c>
      <c r="Y12" s="131">
        <v>8</v>
      </c>
      <c r="Z12" s="40"/>
      <c r="AA12" s="41"/>
    </row>
    <row r="13" spans="1:27" x14ac:dyDescent="0.35">
      <c r="E13" s="226">
        <v>6369</v>
      </c>
      <c r="F13" s="226">
        <v>175868</v>
      </c>
      <c r="G13" s="226">
        <v>4366.631818181816</v>
      </c>
      <c r="H13" s="226">
        <v>8773.2718181818145</v>
      </c>
      <c r="I13" s="227">
        <v>2501.0529545454542</v>
      </c>
      <c r="J13" s="226">
        <v>618.8609090909091</v>
      </c>
      <c r="K13" s="226">
        <v>10681</v>
      </c>
      <c r="L13" s="226">
        <v>600320</v>
      </c>
      <c r="M13" s="226">
        <v>52589</v>
      </c>
      <c r="N13" s="226">
        <v>18172</v>
      </c>
      <c r="O13" s="226">
        <v>29584</v>
      </c>
      <c r="P13" s="226">
        <v>22854</v>
      </c>
      <c r="Q13" s="226">
        <v>26855</v>
      </c>
      <c r="R13" s="226">
        <v>21086</v>
      </c>
      <c r="S13" s="226">
        <v>27674</v>
      </c>
      <c r="T13" s="226">
        <v>66</v>
      </c>
      <c r="U13" s="226">
        <v>514</v>
      </c>
      <c r="V13" s="226">
        <v>527</v>
      </c>
      <c r="W13" s="226">
        <v>554</v>
      </c>
      <c r="X13" s="226">
        <v>40</v>
      </c>
      <c r="Y13" s="226">
        <v>30</v>
      </c>
      <c r="Z13" s="40"/>
    </row>
    <row r="20" spans="1:1" x14ac:dyDescent="0.35">
      <c r="A20" s="7"/>
    </row>
  </sheetData>
  <phoneticPr fontId="14" type="noConversion"/>
  <pageMargins left="0.70866141732283472" right="0.70866141732283472" top="0.74803149606299213" bottom="0.74803149606299213" header="0.31496062992125984" footer="0.31496062992125984"/>
  <pageSetup scale="8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-0.249977111117893"/>
  </sheetPr>
  <dimension ref="A1:AI81"/>
  <sheetViews>
    <sheetView zoomScaleNormal="100" workbookViewId="0">
      <pane xSplit="2" ySplit="3" topLeftCell="U4" activePane="bottomRight" state="frozen"/>
      <selection pane="topRight" activeCell="C1" sqref="C1"/>
      <selection pane="bottomLeft" activeCell="A4" sqref="A4"/>
      <selection pane="bottomRight" activeCell="U5" sqref="U5"/>
    </sheetView>
  </sheetViews>
  <sheetFormatPr baseColWidth="10" defaultRowHeight="14.5" x14ac:dyDescent="0.35"/>
  <cols>
    <col min="1" max="1" width="46.54296875" bestFit="1" customWidth="1"/>
    <col min="5" max="5" width="19.7265625" customWidth="1"/>
    <col min="28" max="28" width="11.26953125" customWidth="1"/>
    <col min="29" max="31" width="10.7265625" customWidth="1"/>
    <col min="32" max="32" width="11.453125" bestFit="1" customWidth="1"/>
    <col min="33" max="35" width="10.7265625" customWidth="1"/>
  </cols>
  <sheetData>
    <row r="1" spans="1:35" x14ac:dyDescent="0.35">
      <c r="A1" s="15" t="s">
        <v>131</v>
      </c>
      <c r="F1" s="3" t="s">
        <v>26</v>
      </c>
      <c r="G1" s="3" t="s">
        <v>27</v>
      </c>
      <c r="H1" s="3" t="s">
        <v>28</v>
      </c>
      <c r="I1" s="3" t="s">
        <v>29</v>
      </c>
      <c r="J1" s="3" t="s">
        <v>30</v>
      </c>
      <c r="K1" s="3" t="s">
        <v>31</v>
      </c>
      <c r="L1" s="3" t="s">
        <v>32</v>
      </c>
      <c r="M1" s="3" t="s">
        <v>33</v>
      </c>
      <c r="N1" s="3" t="s">
        <v>34</v>
      </c>
      <c r="O1" s="3" t="s">
        <v>69</v>
      </c>
      <c r="P1" s="3" t="s">
        <v>70</v>
      </c>
      <c r="Q1" s="20" t="s">
        <v>48</v>
      </c>
    </row>
    <row r="2" spans="1:35" ht="64" x14ac:dyDescent="0.35">
      <c r="F2" s="4" t="s">
        <v>35</v>
      </c>
      <c r="G2" s="4" t="s">
        <v>36</v>
      </c>
      <c r="H2" s="4" t="s">
        <v>37</v>
      </c>
      <c r="I2" s="4" t="s">
        <v>38</v>
      </c>
      <c r="J2" s="4" t="s">
        <v>39</v>
      </c>
      <c r="K2" s="4" t="s">
        <v>40</v>
      </c>
      <c r="L2" s="4" t="s">
        <v>41</v>
      </c>
      <c r="M2" s="4" t="s">
        <v>42</v>
      </c>
      <c r="N2" s="4" t="s">
        <v>43</v>
      </c>
      <c r="O2" s="4" t="s">
        <v>44</v>
      </c>
      <c r="P2" s="4" t="s">
        <v>45</v>
      </c>
      <c r="Q2" s="4" t="s">
        <v>35</v>
      </c>
      <c r="R2" s="4" t="s">
        <v>36</v>
      </c>
      <c r="S2" s="4" t="s">
        <v>37</v>
      </c>
      <c r="T2" s="4" t="s">
        <v>38</v>
      </c>
      <c r="U2" s="4" t="s">
        <v>39</v>
      </c>
      <c r="V2" s="4" t="s">
        <v>40</v>
      </c>
      <c r="W2" s="4" t="s">
        <v>41</v>
      </c>
      <c r="X2" s="4" t="s">
        <v>42</v>
      </c>
      <c r="Y2" s="4" t="s">
        <v>43</v>
      </c>
      <c r="Z2" s="4" t="s">
        <v>44</v>
      </c>
      <c r="AA2" s="4" t="s">
        <v>45</v>
      </c>
      <c r="AB2" s="4"/>
      <c r="AC2" s="4"/>
    </row>
    <row r="3" spans="1:35" ht="52.5" x14ac:dyDescent="0.35">
      <c r="A3" s="8" t="s">
        <v>8</v>
      </c>
      <c r="B3" s="12" t="s">
        <v>0</v>
      </c>
      <c r="C3" s="12" t="s">
        <v>16</v>
      </c>
      <c r="D3" s="13" t="s">
        <v>25</v>
      </c>
      <c r="E3" s="14" t="s">
        <v>47</v>
      </c>
      <c r="F3" s="135" t="s">
        <v>148</v>
      </c>
      <c r="G3" s="135" t="s">
        <v>149</v>
      </c>
      <c r="H3" s="135" t="s">
        <v>150</v>
      </c>
      <c r="I3" s="135" t="s">
        <v>151</v>
      </c>
      <c r="J3" s="135" t="s">
        <v>152</v>
      </c>
      <c r="K3" s="135" t="s">
        <v>154</v>
      </c>
      <c r="L3" s="135" t="s">
        <v>153</v>
      </c>
      <c r="M3" s="135" t="s">
        <v>156</v>
      </c>
      <c r="N3" s="135" t="s">
        <v>157</v>
      </c>
      <c r="O3" s="135" t="s">
        <v>155</v>
      </c>
      <c r="P3" s="135" t="s">
        <v>158</v>
      </c>
      <c r="Q3" s="11" t="s">
        <v>46</v>
      </c>
      <c r="R3" s="9" t="s">
        <v>46</v>
      </c>
      <c r="S3" s="9" t="s">
        <v>46</v>
      </c>
      <c r="T3" s="9" t="s">
        <v>46</v>
      </c>
      <c r="U3" s="9" t="s">
        <v>46</v>
      </c>
      <c r="V3" s="9" t="s">
        <v>46</v>
      </c>
      <c r="W3" s="9" t="s">
        <v>46</v>
      </c>
      <c r="X3" s="9" t="s">
        <v>46</v>
      </c>
      <c r="Y3" s="9" t="s">
        <v>46</v>
      </c>
      <c r="Z3" s="9" t="s">
        <v>46</v>
      </c>
      <c r="AA3" s="9" t="s">
        <v>46</v>
      </c>
      <c r="AB3" s="31" t="s">
        <v>49</v>
      </c>
      <c r="AC3" s="32" t="s">
        <v>65</v>
      </c>
      <c r="AD3" s="32" t="s">
        <v>50</v>
      </c>
      <c r="AE3" s="32" t="s">
        <v>64</v>
      </c>
      <c r="AF3" s="32" t="s">
        <v>66</v>
      </c>
      <c r="AG3" s="32" t="s">
        <v>67</v>
      </c>
      <c r="AH3" s="32" t="s">
        <v>68</v>
      </c>
      <c r="AI3" s="32" t="s">
        <v>63</v>
      </c>
    </row>
    <row r="4" spans="1:35" x14ac:dyDescent="0.35">
      <c r="A4" s="21" t="str">
        <f>Valores!A4</f>
        <v>PONTIFICIA UNIVERSIDAD CATÓLICA DE CHILE</v>
      </c>
      <c r="B4" s="22" t="str">
        <f>Valores!B4</f>
        <v>PUC</v>
      </c>
      <c r="C4" s="23" t="str">
        <f>Valores!C4</f>
        <v>CRUCH-PRIVADA</v>
      </c>
      <c r="D4" s="23" t="str">
        <f>Valores!D4</f>
        <v>Categoría I</v>
      </c>
      <c r="E4" s="23" t="str">
        <f t="shared" ref="E4:E12" si="0">CONCATENATE(C4,D4)</f>
        <v>CRUCH-PRIVADACategoría I</v>
      </c>
      <c r="F4" s="24">
        <f>IFERROR(Valores!E4/Valores!F4*100,0)</f>
        <v>4.1130423245323078</v>
      </c>
      <c r="G4" s="25">
        <f>IFERROR(Valores!G4/Valores!H4,0)</f>
        <v>0.50022345302716065</v>
      </c>
      <c r="H4" s="25">
        <f>IFERROR((Valores!G4+Valores!I4+Valores!J4)/(Valores!H4),0)</f>
        <v>0.91226330298724045</v>
      </c>
      <c r="I4" s="25">
        <f>IFERROR(Valores!K4/Valores!H4,0)</f>
        <v>1.9164536749235503</v>
      </c>
      <c r="J4" s="25">
        <f>IFERROR(Valores!K4/Valores!G4,0)</f>
        <v>3.8311951655323382</v>
      </c>
      <c r="K4" s="25">
        <f>IFERROR(Valores!L4/Valores!M4,0)</f>
        <v>13.659899901772768</v>
      </c>
      <c r="L4" s="25">
        <f>IFERROR(Valores!N4/Valores!O4,0)</f>
        <v>0.3358070500927644</v>
      </c>
      <c r="M4" s="25">
        <f>IFERROR(Valores!P4/Valores!Q4,0)</f>
        <v>0.89078902810700977</v>
      </c>
      <c r="N4" s="25">
        <f>IFERROR(Valores!R4/Valores!S4,0)</f>
        <v>0.842741935483871</v>
      </c>
      <c r="O4" s="25">
        <f>IF(Valores!W4&gt;0,Valores!T4/Valores!W4,IF(AND(Valores!W4=0,OR(Valores!V4&gt;0,Valores!U4&gt;0)),0,IF(AND(Valores!V4=0,Valores!W4=0,Valores!U4=0),"NC",)))</f>
        <v>0.10245901639344263</v>
      </c>
      <c r="P4" s="26">
        <f>IFERROR((Valores!X4+Valores!Y4)*1000/(Valores!H4),0)</f>
        <v>16.791616243277591</v>
      </c>
      <c r="Q4" s="27">
        <f t="array" ref="Q4">F4/MAX(IF($E$4:$E$18=$E4,F$4:F$18))</f>
        <v>0.87564005228526931</v>
      </c>
      <c r="R4" s="27">
        <f t="array" ref="R4">G4/MAX(IF($E$4:$E$18=$E4,G$4:G$18))</f>
        <v>0.77503055485979788</v>
      </c>
      <c r="S4" s="27">
        <f t="array" ref="S4">H4/MAX(IF($E$4:$E$18=$E4,H$4:H$18))</f>
        <v>0.99394386864078665</v>
      </c>
      <c r="T4" s="27">
        <f t="array" ref="T4">I4/MAX(IF($E$4:$E$18=$E4,I$4:I$18))</f>
        <v>1</v>
      </c>
      <c r="U4" s="27">
        <f t="array" ref="U4">J4/MAX(IF($E$4:$E$18=$E4,J$4:J$18))</f>
        <v>1</v>
      </c>
      <c r="V4" s="27">
        <f t="array" ref="V4">K4/MAX(IF($E$4:$E$18=$E4,K$4:K$18))</f>
        <v>1</v>
      </c>
      <c r="W4" s="27">
        <f t="array" ref="W4">L4/MAX(IF($E$4:$E$18=$E4,L$4:L$18))</f>
        <v>0.47705803692591475</v>
      </c>
      <c r="X4" s="27">
        <f t="array" ref="X4">M4/MAX(IF($E$4:$E$18=$E4,M$4:M$18))</f>
        <v>1</v>
      </c>
      <c r="Y4" s="27">
        <f t="array" ref="Y4">N4/MAX(IF($E$4:$E$18=$E4,N$4:N$18))</f>
        <v>1</v>
      </c>
      <c r="Z4" s="27">
        <f t="array" ref="Z4">IF(O4="NC","NC",IF(O4=0,0,IF(O4&gt;0,O4/MAX(IF($E$4:$E$18=$E4,$O$4:$O$18,"ERROR")))))</f>
        <v>0.55327868852459017</v>
      </c>
      <c r="AA4" s="28">
        <f t="array" ref="AA4">IF(P4=0,0,P4/MAX(IF($E$4:$E$18=$E4,$P$4:$P$18)))</f>
        <v>1</v>
      </c>
      <c r="AB4" s="29">
        <f t="shared" ref="AB4:AB12" si="1">IF(Z4="NC",(SUM(Q4:Y4)+AA4)/(COUNTA(Q4:Y4)+COUNTA(AA4)),AVERAGE(Q4:AA4))</f>
        <v>0.87954101829421449</v>
      </c>
      <c r="AC4" s="10">
        <f t="array" ref="AC4">SUM(IF($E$4:$E$18=$E4,$AB$4:$AB$18,"ERROR"))</f>
        <v>3.7786996370757202</v>
      </c>
      <c r="AD4" s="33">
        <f t="shared" ref="AD4:AD12" si="2">AB4/AC4</f>
        <v>0.23276288214717122</v>
      </c>
      <c r="AE4" s="60">
        <f>IFERROR(VLOOKUP(E4,Categorías!$A$26:$C$28,3,0),0)</f>
        <v>20275376</v>
      </c>
      <c r="AF4" s="61">
        <f t="shared" ref="AF4:AF12" si="3">AD4*AE4</f>
        <v>4719354.9543775842</v>
      </c>
      <c r="AG4" s="60">
        <f t="shared" ref="AG4:AH13" si="4">ROUND(AF4,0)</f>
        <v>4719355</v>
      </c>
      <c r="AH4" s="30">
        <f t="shared" si="4"/>
        <v>4719355</v>
      </c>
      <c r="AI4" s="18">
        <f t="array" ref="AI4">AG4/(SUM(IF($C$4:$C$18=$C4,$AG$4:$AG$18,0)))</f>
        <v>0.15180189024329835</v>
      </c>
    </row>
    <row r="5" spans="1:35" x14ac:dyDescent="0.35">
      <c r="A5" s="21" t="str">
        <f>Valores!A5</f>
        <v>PONTIFICIA UNIVERSIDAD CATÓLICA DE VALPARAÍSO</v>
      </c>
      <c r="B5" s="22" t="str">
        <f>Valores!B5</f>
        <v>UCV</v>
      </c>
      <c r="C5" s="23" t="str">
        <f>Valores!C5</f>
        <v>CRUCH-PRIVADA</v>
      </c>
      <c r="D5" s="23" t="str">
        <f>Valores!D5</f>
        <v>Categoría I</v>
      </c>
      <c r="E5" s="23" t="str">
        <f t="shared" si="0"/>
        <v>CRUCH-PRIVADACategoría I</v>
      </c>
      <c r="F5" s="24">
        <f>IFERROR(Valores!E5/Valores!F5*100,0)</f>
        <v>3.38145688093539</v>
      </c>
      <c r="G5" s="25">
        <f>IFERROR(Valores!G5/Valores!H5,0)</f>
        <v>0.64542417055757306</v>
      </c>
      <c r="H5" s="25">
        <f>IFERROR((Valores!G5+Valores!I5+Valores!J5)/(Valores!H5),0)</f>
        <v>0.88647508584698231</v>
      </c>
      <c r="I5" s="25">
        <f>IFERROR(Valores!K5/Valores!H5,0)</f>
        <v>1.381827614318536</v>
      </c>
      <c r="J5" s="25">
        <f>IFERROR(Valores!K5/Valores!G5,0)</f>
        <v>2.1409604371103641</v>
      </c>
      <c r="K5" s="25">
        <f>IFERROR(Valores!L5/Valores!M5,0)</f>
        <v>9.3675840978593268</v>
      </c>
      <c r="L5" s="25">
        <f>IFERROR(Valores!N5/Valores!O5,0)</f>
        <v>0.66010575793184489</v>
      </c>
      <c r="M5" s="25">
        <f>IFERROR(Valores!P5/Valores!Q5,0)</f>
        <v>0.80347718099968957</v>
      </c>
      <c r="N5" s="25">
        <f>IFERROR(Valores!R5/Valores!S5,0)</f>
        <v>0.74756133609222586</v>
      </c>
      <c r="O5" s="25">
        <f>IF(Valores!W5&gt;0,Valores!T5/Valores!W5,IF(AND(Valores!W5=0,OR(Valores!V5&gt;0,Valores!U5&gt;0)),0,IF(AND(Valores!V5=0,Valores!W5=0,Valores!U5=0),"NC",)))</f>
        <v>8.4507042253521125E-2</v>
      </c>
      <c r="P5" s="26">
        <f>IFERROR((Valores!X5+Valores!Y5)*1000/(Valores!H5),0)</f>
        <v>2.7174584352380253</v>
      </c>
      <c r="Q5" s="27">
        <f t="array" ref="Q5">F5/MAX(IF($E$4:$E$18=$E5,F$4:F$18))</f>
        <v>0.71989025310099031</v>
      </c>
      <c r="R5" s="27">
        <f t="array" ref="R5">G5/MAX(IF($E$4:$E$18=$E5,G$4:G$18))</f>
        <v>1</v>
      </c>
      <c r="S5" s="27">
        <f t="array" ref="S5">H5/MAX(IF($E$4:$E$18=$E5,H$4:H$18))</f>
        <v>0.96584667320849893</v>
      </c>
      <c r="T5" s="27">
        <f t="array" ref="T5">I5/MAX(IF($E$4:$E$18=$E5,I$4:I$18))</f>
        <v>0.72103366358368082</v>
      </c>
      <c r="U5" s="27">
        <f t="array" ref="U5">J5/MAX(IF($E$4:$E$18=$E5,J$4:J$18))</f>
        <v>0.55882312035985282</v>
      </c>
      <c r="V5" s="27">
        <f t="array" ref="V5">K5/MAX(IF($E$4:$E$18=$E5,K$4:K$18))</f>
        <v>0.68577252873160599</v>
      </c>
      <c r="W5" s="27">
        <f t="array" ref="W5">L5/MAX(IF($E$4:$E$18=$E5,L$4:L$18))</f>
        <v>0.93776696157947725</v>
      </c>
      <c r="X5" s="27">
        <f t="array" ref="X5">M5/MAX(IF($E$4:$E$18=$E5,M$4:M$18))</f>
        <v>0.90198369720284488</v>
      </c>
      <c r="Y5" s="27">
        <f t="array" ref="Y5">N5/MAX(IF($E$4:$E$18=$E5,N$4:N$18))</f>
        <v>0.88705842751613395</v>
      </c>
      <c r="Z5" s="27">
        <f t="array" ref="Z5">IF(O5="NC","NC",IF(O5=0,0,IF(O5&gt;0,O5/MAX(IF($E$4:$E$18=$E5,$O$4:$O$18,"ERROR")))))</f>
        <v>0.45633802816901409</v>
      </c>
      <c r="AA5" s="28">
        <f t="array" ref="AA5">IF(P5=0,0,P5/MAX(IF($E$4:$E$18=$E5,$P$4:$P$18)))</f>
        <v>0.16183423893610843</v>
      </c>
      <c r="AB5" s="29">
        <f t="shared" si="1"/>
        <v>0.72694069021710983</v>
      </c>
      <c r="AC5" s="10">
        <f t="array" ref="AC5">SUM(IF($E$4:$E$18=$E5,$AB$4:$AB$18,"ERROR"))</f>
        <v>3.7786996370757202</v>
      </c>
      <c r="AD5" s="33">
        <f t="shared" si="2"/>
        <v>0.19237853230898194</v>
      </c>
      <c r="AE5" s="60">
        <f>IFERROR(VLOOKUP(E5,Categorías!$A$26:$C$28,3,0),0)</f>
        <v>20275376</v>
      </c>
      <c r="AF5" s="61">
        <f t="shared" si="3"/>
        <v>3900547.0768927569</v>
      </c>
      <c r="AG5" s="60">
        <f t="shared" si="4"/>
        <v>3900547</v>
      </c>
      <c r="AH5" s="30">
        <f t="shared" si="4"/>
        <v>3900547</v>
      </c>
      <c r="AI5" s="18">
        <f t="array" ref="AI5">AG5/(SUM(IF($C$4:$C$18=$C5,$AG$4:$AG$18,0)))</f>
        <v>0.12546426526142379</v>
      </c>
    </row>
    <row r="6" spans="1:35" x14ac:dyDescent="0.35">
      <c r="A6" s="21" t="str">
        <f>Valores!A6</f>
        <v>UNIVERSIDAD AUSTRAL DE CHILE</v>
      </c>
      <c r="B6" s="22" t="str">
        <f>Valores!B6</f>
        <v>AUS</v>
      </c>
      <c r="C6" s="23" t="str">
        <f>Valores!C6</f>
        <v>CRUCH-PRIVADA</v>
      </c>
      <c r="D6" s="23" t="str">
        <f>Valores!D6</f>
        <v>Categoría I</v>
      </c>
      <c r="E6" s="23" t="str">
        <f t="shared" si="0"/>
        <v>CRUCH-PRIVADACategoría I</v>
      </c>
      <c r="F6" s="24">
        <f>IFERROR(Valores!E6/Valores!F6*100,0)</f>
        <v>4.697183864303577</v>
      </c>
      <c r="G6" s="25">
        <f>IFERROR(Valores!G6/Valores!H6,0)</f>
        <v>0.56145838196162645</v>
      </c>
      <c r="H6" s="25">
        <f>IFERROR((Valores!G6+Valores!I6+Valores!J6)/(Valores!H6),0)</f>
        <v>0.89921105457261563</v>
      </c>
      <c r="I6" s="25">
        <f>IFERROR(Valores!K6/Valores!H6,0)</f>
        <v>0.89043462023248232</v>
      </c>
      <c r="J6" s="25">
        <f>IFERROR(Valores!K6/Valores!G6,0)</f>
        <v>1.5859316537789974</v>
      </c>
      <c r="K6" s="25">
        <f>IFERROR(Valores!L6/Valores!M6,0)</f>
        <v>9.0342598577892694</v>
      </c>
      <c r="L6" s="25">
        <f>IFERROR(Valores!N6/Valores!O6,0)</f>
        <v>0.70391236306729266</v>
      </c>
      <c r="M6" s="25">
        <f>IFERROR(Valores!P6/Valores!Q6,0)</f>
        <v>0.83581595498179406</v>
      </c>
      <c r="N6" s="25">
        <f>IFERROR(Valores!R6/Valores!S6,0)</f>
        <v>0.71366531557614366</v>
      </c>
      <c r="O6" s="25">
        <f>IF(Valores!W6&gt;0,Valores!T6/Valores!W6,IF(AND(Valores!W6=0,OR(Valores!V6&gt;0,Valores!U6&gt;0)),0,IF(AND(Valores!V6=0,Valores!W6=0,Valores!U6=0),"NC",)))</f>
        <v>2.2727272727272728E-2</v>
      </c>
      <c r="P6" s="26">
        <f>IFERROR((Valores!X6+Valores!Y6)*1000/(Valores!H6),0)</f>
        <v>0</v>
      </c>
      <c r="Q6" s="27">
        <f t="array" ref="Q6">F6/MAX(IF($E$4:$E$18=$E6,F$4:F$18))</f>
        <v>1</v>
      </c>
      <c r="R6" s="27">
        <f t="array" ref="R6">G6/MAX(IF($E$4:$E$18=$E6,G$4:G$18))</f>
        <v>0.86990603633048058</v>
      </c>
      <c r="S6" s="27">
        <f t="array" ref="S6">H6/MAX(IF($E$4:$E$18=$E6,H$4:H$18))</f>
        <v>0.97972297184354462</v>
      </c>
      <c r="T6" s="27">
        <f t="array" ref="T6">I6/MAX(IF($E$4:$E$18=$E6,I$4:I$18))</f>
        <v>0.46462621658099973</v>
      </c>
      <c r="U6" s="27">
        <f t="array" ref="U6">J6/MAX(IF($E$4:$E$18=$E6,J$4:J$18))</f>
        <v>0.41395219644432674</v>
      </c>
      <c r="V6" s="27">
        <f t="array" ref="V6">K6/MAX(IF($E$4:$E$18=$E6,K$4:K$18))</f>
        <v>0.66137086821674385</v>
      </c>
      <c r="W6" s="27">
        <f t="array" ref="W6">L6/MAX(IF($E$4:$E$18=$E6,L$4:L$18))</f>
        <v>1</v>
      </c>
      <c r="X6" s="27">
        <f t="array" ref="X6">M6/MAX(IF($E$4:$E$18=$E6,M$4:M$18))</f>
        <v>0.93828721348079758</v>
      </c>
      <c r="Y6" s="27">
        <f t="array" ref="Y6">N6/MAX(IF($E$4:$E$18=$E6,N$4:N$18))</f>
        <v>0.84683731226260106</v>
      </c>
      <c r="Z6" s="27">
        <f t="array" ref="Z6">IF(O6="NC","NC",IF(O6=0,0,IF(O6&gt;0,O6/MAX(IF($E$4:$E$18=$E6,$O$4:$O$18,"ERROR")))))</f>
        <v>0.12272727272727274</v>
      </c>
      <c r="AA6" s="28">
        <f t="array" ref="AA6">IF(P6=0,0,P6/MAX(IF($E$4:$E$18=$E6,$P$4:$P$18)))</f>
        <v>0</v>
      </c>
      <c r="AB6" s="29">
        <f t="shared" si="1"/>
        <v>0.66340273526243343</v>
      </c>
      <c r="AC6" s="10">
        <f t="array" ref="AC6">SUM(IF($E$4:$E$18=$E6,$AB$4:$AB$18,"ERROR"))</f>
        <v>3.7786996370757202</v>
      </c>
      <c r="AD6" s="33">
        <f t="shared" si="2"/>
        <v>0.17556376504585874</v>
      </c>
      <c r="AE6" s="60">
        <f>IFERROR(VLOOKUP(E6,Categorías!$A$26:$C$28,3,0),0)</f>
        <v>20275376</v>
      </c>
      <c r="AF6" s="61">
        <f t="shared" si="3"/>
        <v>3559621.3482804433</v>
      </c>
      <c r="AG6" s="60">
        <f t="shared" si="4"/>
        <v>3559621</v>
      </c>
      <c r="AH6" s="30">
        <f t="shared" si="4"/>
        <v>3559621</v>
      </c>
      <c r="AI6" s="18">
        <f t="array" ref="AI6">AG6/(SUM(IF($C$4:$C$18=$C6,$AG$4:$AG$18,0)))</f>
        <v>0.11449810331067273</v>
      </c>
    </row>
    <row r="7" spans="1:35" x14ac:dyDescent="0.35">
      <c r="A7" s="21" t="str">
        <f>Valores!A7</f>
        <v>UNIVERSIDAD CATÓLICA DE LA SANTÍSIMA CONCEPCIÓN</v>
      </c>
      <c r="B7" s="22" t="str">
        <f>Valores!B7</f>
        <v>USC</v>
      </c>
      <c r="C7" s="23" t="str">
        <f>Valores!C7</f>
        <v>CRUCH-PRIVADA</v>
      </c>
      <c r="D7" s="23" t="str">
        <f>Valores!D7</f>
        <v>Categoría II</v>
      </c>
      <c r="E7" s="23" t="str">
        <f t="shared" si="0"/>
        <v>CRUCH-PRIVADACategoría II</v>
      </c>
      <c r="F7" s="24">
        <f>IFERROR(Valores!E7/Valores!F7*100,0)</f>
        <v>2.3699664429530203</v>
      </c>
      <c r="G7" s="25">
        <f>IFERROR(Valores!G7/Valores!H7,0)</f>
        <v>0.33694425637553621</v>
      </c>
      <c r="H7" s="25">
        <f>IFERROR((Valores!G7+Valores!I7+Valores!J7)/(Valores!H7),0)</f>
        <v>0.7253817798841492</v>
      </c>
      <c r="I7" s="25">
        <f>IFERROR(Valores!K7/Valores!H7,0)</f>
        <v>0.72820281351087102</v>
      </c>
      <c r="J7" s="25">
        <f>IFERROR(Valores!K7/Valores!G7,0)</f>
        <v>2.1611966956910029</v>
      </c>
      <c r="K7" s="25">
        <f>IFERROR(Valores!L7/Valores!M7,0)</f>
        <v>7.4596928982725528</v>
      </c>
      <c r="L7" s="25">
        <f>IFERROR(Valores!N7/Valores!O7,0)</f>
        <v>0.79800498753117211</v>
      </c>
      <c r="M7" s="25">
        <f>IFERROR(Valores!P7/Valores!Q7,0)</f>
        <v>0.86810687890847071</v>
      </c>
      <c r="N7" s="25">
        <f>IFERROR(Valores!R7/Valores!S7,0)</f>
        <v>0.75444444444444447</v>
      </c>
      <c r="O7" s="25">
        <f>IF(Valores!W7&gt;0,Valores!T7/Valores!W7,IF(AND(Valores!W7=0,OR(Valores!V7&gt;0,Valores!U7&gt;0)),0,IF(AND(Valores!V7=0,Valores!W7=0,Valores!U7=0),"NC",)))</f>
        <v>0.3</v>
      </c>
      <c r="P7" s="26">
        <f>IFERROR((Valores!X7+Valores!Y7)*1000/(Valores!H7),0)</f>
        <v>8.2750319717144443</v>
      </c>
      <c r="Q7" s="27">
        <f t="array" ref="Q7">F7/MAX(IF($E$4:$E$18=$E7,F$4:F$18))</f>
        <v>0.65840630243288589</v>
      </c>
      <c r="R7" s="27">
        <f t="array" ref="R7">G7/MAX(IF($E$4:$E$18=$E7,G$4:G$18))</f>
        <v>0.75518339234094922</v>
      </c>
      <c r="S7" s="27">
        <f t="array" ref="S7">H7/MAX(IF($E$4:$E$18=$E7,H$4:H$18))</f>
        <v>0.87944722720164437</v>
      </c>
      <c r="T7" s="27">
        <f t="array" ref="T7">I7/MAX(IF($E$4:$E$18=$E7,I$4:I$18))</f>
        <v>0.69475305824738842</v>
      </c>
      <c r="U7" s="27">
        <f t="array" ref="U7">J7/MAX(IF($E$4:$E$18=$E7,J$4:J$18))</f>
        <v>0.9199792597315517</v>
      </c>
      <c r="V7" s="27">
        <f t="array" ref="V7">K7/MAX(IF($E$4:$E$18=$E7,K$4:K$18))</f>
        <v>0.61402105677739882</v>
      </c>
      <c r="W7" s="27">
        <f t="array" ref="W7">L7/MAX(IF($E$4:$E$18=$E7,L$4:L$18))</f>
        <v>0.95638142495423839</v>
      </c>
      <c r="X7" s="27">
        <f t="array" ref="X7">M7/MAX(IF($E$4:$E$18=$E7,M$4:M$18))</f>
        <v>0.98272346873575689</v>
      </c>
      <c r="Y7" s="27">
        <f t="array" ref="Y7">N7/MAX(IF($E$4:$E$18=$E7,N$4:N$18))</f>
        <v>0.96728824649060197</v>
      </c>
      <c r="Z7" s="27">
        <f t="array" ref="Z7">IF(O7="NC","NC",IF(O7=0,0,IF(O7&gt;0,O7/MAX(IF($E$4:$E$18=$E7,$O$4:$O$18,"ERROR")))))</f>
        <v>0.72</v>
      </c>
      <c r="AA7" s="28">
        <f t="array" ref="AA7">IF(P7=0,0,P7/MAX(IF($E$4:$E$18=$E7,$P$4:$P$18)))</f>
        <v>0.61221524657543636</v>
      </c>
      <c r="AB7" s="29">
        <f t="shared" si="1"/>
        <v>0.79639988031707742</v>
      </c>
      <c r="AC7" s="10">
        <f t="array" ref="AC7">SUM(IF($E$4:$E$18=$E7,$AB$4:$AB$18,"ERROR"))</f>
        <v>3.2003144663244432</v>
      </c>
      <c r="AD7" s="33">
        <f t="shared" si="2"/>
        <v>0.2488505078789153</v>
      </c>
      <c r="AE7" s="60">
        <f>IFERROR(VLOOKUP(E7,Categorías!$A$26:$C$28,3,0),0)</f>
        <v>10813534</v>
      </c>
      <c r="AF7" s="61">
        <f t="shared" si="3"/>
        <v>2690953.4278659183</v>
      </c>
      <c r="AG7" s="60">
        <f t="shared" si="4"/>
        <v>2690953</v>
      </c>
      <c r="AH7" s="30">
        <f t="shared" si="4"/>
        <v>2690953</v>
      </c>
      <c r="AI7" s="18">
        <f t="array" ref="AI7">AG7/(SUM(IF($C$4:$C$18=$C7,$AG$4:$AG$18,0)))</f>
        <v>8.6556690894385863E-2</v>
      </c>
    </row>
    <row r="8" spans="1:35" x14ac:dyDescent="0.35">
      <c r="A8" s="21" t="str">
        <f>Valores!A8</f>
        <v>UNIVERSIDAD CATÓLICA DE TEMUCO</v>
      </c>
      <c r="B8" s="22" t="str">
        <f>Valores!B8</f>
        <v>UCT</v>
      </c>
      <c r="C8" s="23" t="str">
        <f>Valores!C8</f>
        <v>CRUCH-PRIVADA</v>
      </c>
      <c r="D8" s="23" t="str">
        <f>Valores!D8</f>
        <v>Categoría II</v>
      </c>
      <c r="E8" s="23" t="str">
        <f t="shared" si="0"/>
        <v>CRUCH-PRIVADACategoría II</v>
      </c>
      <c r="F8" s="24">
        <f>IFERROR(Valores!E8/Valores!F8*100,0)</f>
        <v>3.4838709677419351</v>
      </c>
      <c r="G8" s="25">
        <f>IFERROR(Valores!G8/Valores!H8,0)</f>
        <v>0.34882316662494872</v>
      </c>
      <c r="H8" s="25">
        <f>IFERROR((Valores!G8+Valores!I8+Valores!J8)/(Valores!H8),0)</f>
        <v>0.71276174944086268</v>
      </c>
      <c r="I8" s="25">
        <f>IFERROR(Valores!K8/Valores!H8,0)</f>
        <v>0.55797609800856052</v>
      </c>
      <c r="J8" s="25">
        <f>IFERROR(Valores!K8/Valores!G8,0)</f>
        <v>1.5995958737697347</v>
      </c>
      <c r="K8" s="25">
        <f>IFERROR(Valores!L8/Valores!M8,0)</f>
        <v>5.2376654632972324</v>
      </c>
      <c r="L8" s="25">
        <f>IFERROR(Valores!N8/Valores!O8,0)</f>
        <v>0.83440034144259501</v>
      </c>
      <c r="M8" s="25">
        <f>IFERROR(Valores!P8/Valores!Q8,0)</f>
        <v>0.83519717480871103</v>
      </c>
      <c r="N8" s="25">
        <f>IFERROR(Valores!R8/Valores!S8,0)</f>
        <v>0.7220033764772088</v>
      </c>
      <c r="O8" s="25">
        <f>IF(Valores!W8&gt;0,Valores!T8/Valores!W8,IF(AND(Valores!W8=0,OR(Valores!V8&gt;0,Valores!U8&gt;0)),0,IF(AND(Valores!V8=0,Valores!W8=0,Valores!U8=0),"NC",)))</f>
        <v>0.41666666666666669</v>
      </c>
      <c r="P8" s="26">
        <f>IFERROR((Valores!X8+Valores!Y8)*1000/(Valores!H8),0)</f>
        <v>0</v>
      </c>
      <c r="Q8" s="27">
        <f t="array" ref="Q8">F8/MAX(IF($E$4:$E$18=$E8,F$4:F$18))</f>
        <v>0.96786290322580626</v>
      </c>
      <c r="R8" s="27">
        <f t="array" ref="R8">G8/MAX(IF($E$4:$E$18=$E8,G$4:G$18))</f>
        <v>0.78180724946189317</v>
      </c>
      <c r="S8" s="27">
        <f t="array" ref="S8">H8/MAX(IF($E$4:$E$18=$E8,H$4:H$18))</f>
        <v>0.86414680046316017</v>
      </c>
      <c r="T8" s="27">
        <f t="array" ref="T8">I8/MAX(IF($E$4:$E$18=$E8,I$4:I$18))</f>
        <v>0.53234565059065764</v>
      </c>
      <c r="U8" s="27">
        <f t="array" ref="U8">J8/MAX(IF($E$4:$E$18=$E8,J$4:J$18))</f>
        <v>0.68091674892636722</v>
      </c>
      <c r="V8" s="27">
        <f t="array" ref="V8">K8/MAX(IF($E$4:$E$18=$E8,K$4:K$18))</f>
        <v>0.43112188754646869</v>
      </c>
      <c r="W8" s="27">
        <f t="array" ref="W8">L8/MAX(IF($E$4:$E$18=$E8,L$4:L$18))</f>
        <v>1</v>
      </c>
      <c r="X8" s="27">
        <f t="array" ref="X8">M8/MAX(IF($E$4:$E$18=$E8,M$4:M$18))</f>
        <v>0.94546867977630533</v>
      </c>
      <c r="Y8" s="27">
        <f t="array" ref="Y8">N8/MAX(IF($E$4:$E$18=$E8,N$4:N$18))</f>
        <v>0.92569490720712799</v>
      </c>
      <c r="Z8" s="27">
        <f t="array" ref="Z8">IF(O8="NC","NC",IF(O8=0,0,IF(O8&gt;0,O8/MAX(IF($E$4:$E$18=$E8,$O$4:$O$18,"ERROR")))))</f>
        <v>1</v>
      </c>
      <c r="AA8" s="28">
        <f t="array" ref="AA8">IF(P8=0,0,P8/MAX(IF($E$4:$E$18=$E8,$P$4:$P$18)))</f>
        <v>0</v>
      </c>
      <c r="AB8" s="29">
        <f t="shared" si="1"/>
        <v>0.73903316610888969</v>
      </c>
      <c r="AC8" s="10">
        <f t="array" ref="AC8">SUM(IF($E$4:$E$18=$E8,$AB$4:$AB$18,"ERROR"))</f>
        <v>3.2003144663244432</v>
      </c>
      <c r="AD8" s="33">
        <f t="shared" si="2"/>
        <v>0.2309251712247104</v>
      </c>
      <c r="AE8" s="60">
        <f>IFERROR(VLOOKUP(E8,Categorías!$A$26:$C$28,3,0),0)</f>
        <v>10813534</v>
      </c>
      <c r="AF8" s="61">
        <f t="shared" si="3"/>
        <v>2497117.1904942277</v>
      </c>
      <c r="AG8" s="60">
        <f t="shared" si="4"/>
        <v>2497117</v>
      </c>
      <c r="AH8" s="30">
        <f t="shared" si="4"/>
        <v>2497117</v>
      </c>
      <c r="AI8" s="18">
        <f t="array" ref="AI8">AG8/(SUM(IF($C$4:$C$18=$C8,$AG$4:$AG$18,0)))</f>
        <v>8.0321798372589986E-2</v>
      </c>
    </row>
    <row r="9" spans="1:35" x14ac:dyDescent="0.35">
      <c r="A9" s="21" t="str">
        <f>Valores!A9</f>
        <v>UNIVERSIDAD CATÓLICA DEL MAULE</v>
      </c>
      <c r="B9" s="22" t="str">
        <f>Valores!B9</f>
        <v>UCM</v>
      </c>
      <c r="C9" s="23" t="str">
        <f>Valores!C9</f>
        <v>CRUCH-PRIVADA</v>
      </c>
      <c r="D9" s="23" t="str">
        <f>Valores!D9</f>
        <v>Categoría II</v>
      </c>
      <c r="E9" s="23" t="str">
        <f t="shared" si="0"/>
        <v>CRUCH-PRIVADACategoría II</v>
      </c>
      <c r="F9" s="24">
        <f>IFERROR(Valores!E9/Valores!F9*100,0)</f>
        <v>3.5995500562429701</v>
      </c>
      <c r="G9" s="25">
        <f>IFERROR(Valores!G9/Valores!H9,0)</f>
        <v>0.41193088111145282</v>
      </c>
      <c r="H9" s="25">
        <f>IFERROR((Valores!G9+Valores!I9+Valores!J9)/(Valores!H9),0)</f>
        <v>0.79262960461346244</v>
      </c>
      <c r="I9" s="25">
        <f>IFERROR(Valores!K9/Valores!H9,0)</f>
        <v>0.91205696036155492</v>
      </c>
      <c r="J9" s="25">
        <f>IFERROR(Valores!K9/Valores!G9,0)</f>
        <v>2.2141019335590597</v>
      </c>
      <c r="K9" s="25">
        <f>IFERROR(Valores!L9/Valores!M9,0)</f>
        <v>6.7358208955223882</v>
      </c>
      <c r="L9" s="25">
        <f>IFERROR(Valores!N9/Valores!O9,0)</f>
        <v>0.83055447848003106</v>
      </c>
      <c r="M9" s="25">
        <f>IFERROR(Valores!P9/Valores!Q9,0)</f>
        <v>0.88336842105263158</v>
      </c>
      <c r="N9" s="25">
        <f>IFERROR(Valores!R9/Valores!S9,0)</f>
        <v>0.77995824634655531</v>
      </c>
      <c r="O9" s="25">
        <f>IF(Valores!W9&gt;0,Valores!T9/Valores!W9,IF(AND(Valores!W9=0,OR(Valores!V9&gt;0,Valores!U9&gt;0)),0,IF(AND(Valores!V9=0,Valores!W9=0,Valores!U9=0),"NC",)))</f>
        <v>0.36363636363636365</v>
      </c>
      <c r="P9" s="26">
        <f>IFERROR((Valores!X9+Valores!Y9)*1000/(Valores!H9),0)</f>
        <v>0</v>
      </c>
      <c r="Q9" s="27">
        <f t="array" ref="Q9">F9/MAX(IF($E$4:$E$18=$E9,F$4:F$18))</f>
        <v>1</v>
      </c>
      <c r="R9" s="27">
        <f t="array" ref="R9">G9/MAX(IF($E$4:$E$18=$E9,G$4:G$18))</f>
        <v>0.92324874017448699</v>
      </c>
      <c r="S9" s="27">
        <f t="array" ref="S9">H9/MAX(IF($E$4:$E$18=$E9,H$4:H$18))</f>
        <v>0.9609779667840227</v>
      </c>
      <c r="T9" s="27">
        <f t="array" ref="T9">I9/MAX(IF($E$4:$E$18=$E9,I$4:I$18))</f>
        <v>0.87016192570306217</v>
      </c>
      <c r="U9" s="27">
        <f t="array" ref="U9">J9/MAX(IF($E$4:$E$18=$E9,J$4:J$18))</f>
        <v>0.94249998709839355</v>
      </c>
      <c r="V9" s="27">
        <f t="array" ref="V9">K9/MAX(IF($E$4:$E$18=$E9,K$4:K$18))</f>
        <v>0.55443781948311888</v>
      </c>
      <c r="W9" s="27">
        <f t="array" ref="W9">L9/MAX(IF($E$4:$E$18=$E9,L$4:L$18))</f>
        <v>0.995390866024917</v>
      </c>
      <c r="X9" s="27">
        <f t="array" ref="X9">M9/MAX(IF($E$4:$E$18=$E9,M$4:M$18))</f>
        <v>1</v>
      </c>
      <c r="Y9" s="27">
        <f t="array" ref="Y9">N9/MAX(IF($E$4:$E$18=$E9,N$4:N$18))</f>
        <v>1</v>
      </c>
      <c r="Z9" s="27">
        <f t="array" ref="Z9">IF(O9="NC","NC",IF(O9=0,0,IF(O9&gt;0,O9/MAX(IF($E$4:$E$18=$E9,$O$4:$O$18,"ERROR")))))</f>
        <v>0.87272727272727268</v>
      </c>
      <c r="AA9" s="28">
        <f t="array" ref="AA9">IF(P9=0,0,P9/MAX(IF($E$4:$E$18=$E9,$P$4:$P$18)))</f>
        <v>0</v>
      </c>
      <c r="AB9" s="29">
        <f t="shared" si="1"/>
        <v>0.82904041618138857</v>
      </c>
      <c r="AC9" s="10">
        <f t="array" ref="AC9">SUM(IF($E$4:$E$18=$E9,$AB$4:$AB$18,"ERROR"))</f>
        <v>3.2003144663244432</v>
      </c>
      <c r="AD9" s="33">
        <f t="shared" si="2"/>
        <v>0.25904967305714188</v>
      </c>
      <c r="AE9" s="60">
        <f>IFERROR(VLOOKUP(E9,Categorías!$A$26:$C$28,3,0),0)</f>
        <v>10813534</v>
      </c>
      <c r="AF9" s="61">
        <f t="shared" si="3"/>
        <v>2801242.4472922878</v>
      </c>
      <c r="AG9" s="60">
        <f t="shared" si="4"/>
        <v>2801242</v>
      </c>
      <c r="AH9" s="30">
        <f t="shared" si="4"/>
        <v>2801242</v>
      </c>
      <c r="AI9" s="18">
        <f t="array" ref="AI9">AG9/(SUM(IF($C$4:$C$18=$C9,$AG$4:$AG$18,0)))</f>
        <v>9.0104226240432767E-2</v>
      </c>
    </row>
    <row r="10" spans="1:35" x14ac:dyDescent="0.35">
      <c r="A10" s="21" t="str">
        <f>Valores!A10</f>
        <v>UNIVERSIDAD CATÓLICA DEL NORTE</v>
      </c>
      <c r="B10" s="22" t="str">
        <f>Valores!B10</f>
        <v>UCN</v>
      </c>
      <c r="C10" s="23" t="str">
        <f>Valores!C10</f>
        <v>CRUCH-PRIVADA</v>
      </c>
      <c r="D10" s="23" t="str">
        <f>Valores!D10</f>
        <v>Categoría I</v>
      </c>
      <c r="E10" s="23" t="str">
        <f t="shared" si="0"/>
        <v>CRUCH-PRIVADACategoría I</v>
      </c>
      <c r="F10" s="24">
        <f>IFERROR(Valores!E10/Valores!F10*100,0)</f>
        <v>3.9508340649692713</v>
      </c>
      <c r="G10" s="25">
        <f>IFERROR(Valores!G10/Valores!H10,0)</f>
        <v>0.43931891041022914</v>
      </c>
      <c r="H10" s="25">
        <f>IFERROR((Valores!G10+Valores!I10+Valores!J10)/(Valores!H10),0)</f>
        <v>0.73431862246367152</v>
      </c>
      <c r="I10" s="25">
        <f>IFERROR(Valores!K10/Valores!H10,0)</f>
        <v>1.2061505384600606</v>
      </c>
      <c r="J10" s="25">
        <f>IFERROR(Valores!K10/Valores!G10,0)</f>
        <v>2.7455010696757305</v>
      </c>
      <c r="K10" s="25">
        <f>IFERROR(Valores!L10/Valores!M10,0)</f>
        <v>10.254517611026033</v>
      </c>
      <c r="L10" s="25">
        <f>IFERROR(Valores!N10/Valores!O10,0)</f>
        <v>0.55111294311624071</v>
      </c>
      <c r="M10" s="25">
        <f>IFERROR(Valores!P10/Valores!Q10,0)</f>
        <v>0.84518013631937683</v>
      </c>
      <c r="N10" s="25">
        <f>IFERROR(Valores!R10/Valores!S10,0)</f>
        <v>0.67941176470588238</v>
      </c>
      <c r="O10" s="25">
        <f>IF(Valores!W10&gt;0,Valores!T10/Valores!W10,IF(AND(Valores!W10=0,OR(Valores!V10&gt;0,Valores!U10&gt;0)),0,IF(AND(Valores!V10=0,Valores!W10=0,Valores!U10=0),"NC",)))</f>
        <v>7.1428571428571425E-2</v>
      </c>
      <c r="P10" s="26">
        <f>IFERROR((Valores!X10+Valores!Y10)*1000/(Valores!H10),0)</f>
        <v>6.7571458737258299</v>
      </c>
      <c r="Q10" s="27">
        <f t="array" ref="Q10">F10/MAX(IF($E$4:$E$18=$E10,F$4:F$18))</f>
        <v>0.84110696517412942</v>
      </c>
      <c r="R10" s="27">
        <f t="array" ref="R10">G10/MAX(IF($E$4:$E$18=$E10,G$4:G$18))</f>
        <v>0.68066696360427215</v>
      </c>
      <c r="S10" s="27">
        <f t="array" ref="S10">H10/MAX(IF($E$4:$E$18=$E10,H$4:H$18))</f>
        <v>0.80006670227391952</v>
      </c>
      <c r="T10" s="27">
        <f t="array" ref="T10">I10/MAX(IF($E$4:$E$18=$E10,I$4:I$18))</f>
        <v>0.62936587210133077</v>
      </c>
      <c r="U10" s="27">
        <f t="array" ref="U10">J10/MAX(IF($E$4:$E$18=$E10,J$4:J$18))</f>
        <v>0.71661738727795865</v>
      </c>
      <c r="V10" s="27">
        <f t="array" ref="V10">K10/MAX(IF($E$4:$E$18=$E10,K$4:K$18))</f>
        <v>0.7507022514634395</v>
      </c>
      <c r="W10" s="27">
        <f t="array" ref="W10">L10/MAX(IF($E$4:$E$18=$E10,L$4:L$18))</f>
        <v>0.7829283473794526</v>
      </c>
      <c r="X10" s="27">
        <f t="array" ref="X10">M10/MAX(IF($E$4:$E$18=$E10,M$4:M$18))</f>
        <v>0.94879944594226184</v>
      </c>
      <c r="Y10" s="27">
        <f t="array" ref="Y10">N10/MAX(IF($E$4:$E$18=$E10,N$4:N$18))</f>
        <v>0.80619195046439629</v>
      </c>
      <c r="Z10" s="27">
        <f t="array" ref="Z10">IF(O10="NC","NC",IF(O10=0,0,IF(O10&gt;0,O10/MAX(IF($E$4:$E$18=$E10,$O$4:$O$18,"ERROR")))))</f>
        <v>0.38571428571428573</v>
      </c>
      <c r="AA10" s="28">
        <f t="array" ref="AA10">IF(P10=0,0,P10/MAX(IF($E$4:$E$18=$E10,$P$4:$P$18)))</f>
        <v>0.40241188077597989</v>
      </c>
      <c r="AB10" s="29">
        <f t="shared" si="1"/>
        <v>0.70405200474285701</v>
      </c>
      <c r="AC10" s="10">
        <f t="array" ref="AC10">SUM(IF($E$4:$E$18=$E10,$AB$4:$AB$18,"ERROR"))</f>
        <v>3.7786996370757202</v>
      </c>
      <c r="AD10" s="33">
        <f t="shared" si="2"/>
        <v>0.18632124073447459</v>
      </c>
      <c r="AE10" s="60">
        <f>IFERROR(VLOOKUP(E10,Categorías!$A$26:$C$28,3,0),0)</f>
        <v>20275376</v>
      </c>
      <c r="AF10" s="61">
        <f t="shared" si="3"/>
        <v>3777733.2126779887</v>
      </c>
      <c r="AG10" s="60">
        <f t="shared" si="4"/>
        <v>3777733</v>
      </c>
      <c r="AH10" s="30">
        <f t="shared" si="4"/>
        <v>3777733</v>
      </c>
      <c r="AI10" s="18">
        <f t="array" ref="AI10">AG10/(SUM(IF($C$4:$C$18=$C10,$AG$4:$AG$18,0)))</f>
        <v>0.12151385310799595</v>
      </c>
    </row>
    <row r="11" spans="1:35" x14ac:dyDescent="0.35">
      <c r="A11" s="21" t="str">
        <f>Valores!A11</f>
        <v>UNIVERSIDAD DE CONCEPCIÓN</v>
      </c>
      <c r="B11" s="22" t="str">
        <f>Valores!B11</f>
        <v>UCO</v>
      </c>
      <c r="C11" s="23" t="str">
        <f>Valores!C11</f>
        <v>CRUCH-PRIVADA</v>
      </c>
      <c r="D11" s="23" t="str">
        <f>Valores!D11</f>
        <v>Categoría I</v>
      </c>
      <c r="E11" s="23" t="str">
        <f t="shared" si="0"/>
        <v>CRUCH-PRIVADACategoría I</v>
      </c>
      <c r="F11" s="24">
        <f>IFERROR(Valores!E11/Valores!F11*100,0)</f>
        <v>4.099889472229898</v>
      </c>
      <c r="G11" s="25">
        <f>IFERROR(Valores!G11/Valores!H11,0)</f>
        <v>0.5961912578272236</v>
      </c>
      <c r="H11" s="25">
        <f>IFERROR((Valores!G11+Valores!I11+Valores!J11)/(Valores!H11),0)</f>
        <v>0.91782175208219352</v>
      </c>
      <c r="I11" s="25">
        <f>IFERROR(Valores!K11/Valores!H11,0)</f>
        <v>0.99641315581494327</v>
      </c>
      <c r="J11" s="25">
        <f>IFERROR(Valores!K11/Valores!G11,0)</f>
        <v>1.671297830575879</v>
      </c>
      <c r="K11" s="25">
        <f>IFERROR(Valores!L11/Valores!M11,0)</f>
        <v>12.043932527693856</v>
      </c>
      <c r="L11" s="25">
        <f>IFERROR(Valores!N11/Valores!O11,0)</f>
        <v>0.66151433691756267</v>
      </c>
      <c r="M11" s="25">
        <f>IFERROR(Valores!P11/Valores!Q11,0)</f>
        <v>0.85252051582649468</v>
      </c>
      <c r="N11" s="25">
        <f>IFERROR(Valores!R11/Valores!S11,0)</f>
        <v>0.77777777777777779</v>
      </c>
      <c r="O11" s="25">
        <f>IF(Valores!W11&gt;0,Valores!T11/Valores!W11,IF(AND(Valores!W11=0,OR(Valores!V11&gt;0,Valores!U11&gt;0)),0,IF(AND(Valores!V11=0,Valores!W11=0,Valores!U11=0),"NC",)))</f>
        <v>0.18518518518518517</v>
      </c>
      <c r="P11" s="26">
        <f>IFERROR((Valores!X11+Valores!Y11)*1000/(Valores!H11),0)</f>
        <v>6.6873366162076726</v>
      </c>
      <c r="Q11" s="27">
        <f t="array" ref="Q11">F11/MAX(IF($E$4:$E$18=$E11,F$4:F$18))</f>
        <v>0.8728398952800549</v>
      </c>
      <c r="R11" s="27">
        <f t="array" ref="R11">G11/MAX(IF($E$4:$E$18=$E11,G$4:G$18))</f>
        <v>0.92372006662251616</v>
      </c>
      <c r="S11" s="27">
        <f t="array" ref="S11">H11/MAX(IF($E$4:$E$18=$E11,H$4:H$18))</f>
        <v>1</v>
      </c>
      <c r="T11" s="27">
        <f t="array" ref="T11">I11/MAX(IF($E$4:$E$18=$E11,I$4:I$18))</f>
        <v>0.51992551077692573</v>
      </c>
      <c r="U11" s="27">
        <f t="array" ref="U11">J11/MAX(IF($E$4:$E$18=$E11,J$4:J$18))</f>
        <v>0.43623406231346479</v>
      </c>
      <c r="V11" s="27">
        <f t="array" ref="V11">K11/MAX(IF($E$4:$E$18=$E11,K$4:K$18))</f>
        <v>0.88169991100233513</v>
      </c>
      <c r="W11" s="27">
        <f t="array" ref="W11">L11/MAX(IF($E$4:$E$18=$E11,L$4:L$18))</f>
        <v>0.93976803310431867</v>
      </c>
      <c r="X11" s="27">
        <f t="array" ref="X11">M11/MAX(IF($E$4:$E$18=$E11,M$4:M$18))</f>
        <v>0.95703975793029417</v>
      </c>
      <c r="Y11" s="27">
        <f t="array" ref="Y11">N11/MAX(IF($E$4:$E$18=$E11,N$4:N$18))</f>
        <v>0.92291334396597557</v>
      </c>
      <c r="Z11" s="27">
        <f t="array" ref="Z11">IF(O11="NC","NC",IF(O11=0,0,IF(O11&gt;0,O11/MAX(IF($E$4:$E$18=$E11,$O$4:$O$18,"ERROR")))))</f>
        <v>1</v>
      </c>
      <c r="AA11" s="28">
        <f t="array" ref="AA11">IF(P11=0,0,P11/MAX(IF($E$4:$E$18=$E11,$P$4:$P$18)))</f>
        <v>0.3982544931542788</v>
      </c>
      <c r="AB11" s="29">
        <f t="shared" si="1"/>
        <v>0.80476318855910567</v>
      </c>
      <c r="AC11" s="10">
        <f t="array" ref="AC11">SUM(IF($E$4:$E$18=$E11,$AB$4:$AB$18,"ERROR"))</f>
        <v>3.7786996370757202</v>
      </c>
      <c r="AD11" s="33">
        <f t="shared" si="2"/>
        <v>0.21297357976351355</v>
      </c>
      <c r="AE11" s="60">
        <f>IFERROR(VLOOKUP(E11,Categorías!$A$26:$C$28,3,0),0)</f>
        <v>20275376</v>
      </c>
      <c r="AF11" s="61">
        <f t="shared" si="3"/>
        <v>4318119.4077712288</v>
      </c>
      <c r="AG11" s="60">
        <f t="shared" si="4"/>
        <v>4318119</v>
      </c>
      <c r="AH11" s="30">
        <f t="shared" si="4"/>
        <v>4318119</v>
      </c>
      <c r="AI11" s="18">
        <f t="array" ref="AI11">AG11/(SUM(IF($C$4:$C$18=$C11,$AG$4:$AG$18,0)))</f>
        <v>0.13889580811265548</v>
      </c>
    </row>
    <row r="12" spans="1:35" x14ac:dyDescent="0.35">
      <c r="A12" s="21" t="str">
        <f>Valores!A12</f>
        <v>UNIVERSIDAD TÉCNICA FEDERICO SANTA MARÍA</v>
      </c>
      <c r="B12" s="22" t="str">
        <f>Valores!B12</f>
        <v>FSM</v>
      </c>
      <c r="C12" s="23" t="str">
        <f>Valores!C12</f>
        <v>CRUCH-PRIVADA</v>
      </c>
      <c r="D12" s="23" t="str">
        <f>Valores!D12</f>
        <v>Categoría II</v>
      </c>
      <c r="E12" s="23" t="str">
        <f t="shared" si="0"/>
        <v>CRUCH-PRIVADACategoría II</v>
      </c>
      <c r="F12" s="24">
        <f>IFERROR(Valores!E12/Valores!F12*100,0)</f>
        <v>2.2314591992999344</v>
      </c>
      <c r="G12" s="25">
        <f>IFERROR(Valores!G12/Valores!H12,0)</f>
        <v>0.44617540559394753</v>
      </c>
      <c r="H12" s="25">
        <f>IFERROR((Valores!G12+Valores!I12+Valores!J12)/(Valores!H12),0)</f>
        <v>0.8248155857995898</v>
      </c>
      <c r="I12" s="25">
        <f>IFERROR(Valores!K12/Valores!H12,0)</f>
        <v>1.0481462511987558</v>
      </c>
      <c r="J12" s="25">
        <f>IFERROR(Valores!K12/Valores!G12,0)</f>
        <v>2.3491798025116744</v>
      </c>
      <c r="K12" s="25">
        <f>IFERROR(Valores!L12/Valores!M12,0)</f>
        <v>12.148920327624721</v>
      </c>
      <c r="L12" s="25">
        <f>IFERROR(Valores!N12/Valores!O12,0)</f>
        <v>0.56185185185185182</v>
      </c>
      <c r="M12" s="25">
        <f>IFERROR(Valores!P12/Valores!Q12,0)</f>
        <v>0.8078277886497065</v>
      </c>
      <c r="N12" s="25">
        <f>IFERROR(Valores!R12/Valores!S12,0)</f>
        <v>0.72261418492387675</v>
      </c>
      <c r="O12" s="25">
        <f>IF(Valores!W12&gt;0,Valores!T12/Valores!W12,IF(AND(Valores!W12=0,OR(Valores!V12&gt;0,Valores!U12&gt;0)),0,IF(AND(Valores!V12=0,Valores!W12=0,Valores!U12=0),"NC",)))</f>
        <v>2.5000000000000001E-2</v>
      </c>
      <c r="P12" s="26">
        <f>IFERROR((Valores!X12+Valores!Y12)*1000/(Valores!H12),0)</f>
        <v>13.516540167862033</v>
      </c>
      <c r="Q12" s="27">
        <f t="array" ref="Q12">F12/MAX(IF($E$4:$E$18=$E12,F$4:F$18))</f>
        <v>0.61992725880551292</v>
      </c>
      <c r="R12" s="27">
        <f t="array" ref="R12">G12/MAX(IF($E$4:$E$18=$E12,G$4:G$18))</f>
        <v>1</v>
      </c>
      <c r="S12" s="27">
        <f t="array" ref="S12">H12/MAX(IF($E$4:$E$18=$E12,H$4:H$18))</f>
        <v>1</v>
      </c>
      <c r="T12" s="27">
        <f t="array" ref="T12">I12/MAX(IF($E$4:$E$18=$E12,I$4:I$18))</f>
        <v>1</v>
      </c>
      <c r="U12" s="27">
        <f t="array" ref="U12">J12/MAX(IF($E$4:$E$18=$E12,J$4:J$18))</f>
        <v>1</v>
      </c>
      <c r="V12" s="27">
        <f t="array" ref="V12">K12/MAX(IF($E$4:$E$18=$E12,K$4:K$18))</f>
        <v>1</v>
      </c>
      <c r="W12" s="27">
        <f t="array" ref="W12">L12/MAX(IF($E$4:$E$18=$E12,L$4:L$18))</f>
        <v>0.67336004546746231</v>
      </c>
      <c r="X12" s="27">
        <f t="array" ref="X12">M12/MAX(IF($E$4:$E$18=$E12,M$4:M$18))</f>
        <v>0.91448569973453431</v>
      </c>
      <c r="Y12" s="27">
        <f t="array" ref="Y12">N12/MAX(IF($E$4:$E$18=$E12,N$4:N$18))</f>
        <v>0.92647803688045227</v>
      </c>
      <c r="Z12" s="27">
        <f t="array" ref="Z12">IF(O12="NC","NC",IF(O12=0,0,IF(O12&gt;0,O12/MAX(IF($E$4:$E$18=$E12,$O$4:$O$18,"ERROR")))))</f>
        <v>0.06</v>
      </c>
      <c r="AA12" s="28">
        <f t="array" ref="AA12">IF(P12=0,0,P12/MAX(IF($E$4:$E$18=$E12,$P$4:$P$18)))</f>
        <v>1</v>
      </c>
      <c r="AB12" s="29">
        <f t="shared" si="1"/>
        <v>0.83584100371708747</v>
      </c>
      <c r="AC12" s="10">
        <f t="array" ref="AC12">SUM(IF($E$4:$E$18=$E12,$AB$4:$AB$18,"ERROR"))</f>
        <v>3.2003144663244432</v>
      </c>
      <c r="AD12" s="33">
        <f t="shared" si="2"/>
        <v>0.26117464783923244</v>
      </c>
      <c r="AE12" s="60">
        <f>IFERROR(VLOOKUP(E12,Categorías!$A$26:$C$28,3,0),0)</f>
        <v>10813534</v>
      </c>
      <c r="AF12" s="61">
        <f t="shared" si="3"/>
        <v>2824220.9343475667</v>
      </c>
      <c r="AG12" s="60">
        <f t="shared" si="4"/>
        <v>2824221</v>
      </c>
      <c r="AH12" s="30">
        <f t="shared" si="4"/>
        <v>2824221</v>
      </c>
      <c r="AI12" s="18">
        <f t="array" ref="AI12">AG12/(SUM(IF($C$4:$C$18=$C12,$AG$4:$AG$18,0)))</f>
        <v>9.0843364456545075E-2</v>
      </c>
    </row>
    <row r="13" spans="1:35" x14ac:dyDescent="0.35">
      <c r="F13" s="174">
        <f>SUM(F4:F12)</f>
        <v>31.927253273208301</v>
      </c>
      <c r="G13" s="174">
        <f t="shared" ref="G13:P13" si="5">SUM(G4:G12)</f>
        <v>4.2864898834896987</v>
      </c>
      <c r="H13" s="174">
        <f t="shared" si="5"/>
        <v>7.4056785376907683</v>
      </c>
      <c r="I13" s="174">
        <f t="shared" si="5"/>
        <v>9.6376617268293128</v>
      </c>
      <c r="J13" s="174">
        <f t="shared" si="5"/>
        <v>20.298960462204779</v>
      </c>
      <c r="K13" s="174">
        <f t="shared" si="5"/>
        <v>85.942293580858149</v>
      </c>
      <c r="L13" s="174">
        <f t="shared" si="5"/>
        <v>5.9372641104313564</v>
      </c>
      <c r="M13" s="174">
        <f t="shared" si="5"/>
        <v>7.6222830796538847</v>
      </c>
      <c r="N13" s="174">
        <f t="shared" si="5"/>
        <v>6.7401783818279863</v>
      </c>
      <c r="O13" s="174">
        <f t="shared" si="5"/>
        <v>1.5716101182910232</v>
      </c>
      <c r="P13" s="174">
        <f t="shared" si="5"/>
        <v>54.745129308025597</v>
      </c>
      <c r="Q13" s="175">
        <f>SUM(Q4:Q12)</f>
        <v>7.5556736303046499</v>
      </c>
      <c r="R13" s="175">
        <f t="shared" ref="R13:AA13" si="6">SUM(R4:R12)</f>
        <v>7.709563003394396</v>
      </c>
      <c r="S13" s="175">
        <f t="shared" si="6"/>
        <v>8.4441522104155773</v>
      </c>
      <c r="T13" s="175">
        <f t="shared" si="6"/>
        <v>6.4322118975840441</v>
      </c>
      <c r="U13" s="175">
        <f t="shared" si="6"/>
        <v>6.6690227621519149</v>
      </c>
      <c r="V13" s="175">
        <f t="shared" si="6"/>
        <v>6.5791263232211108</v>
      </c>
      <c r="W13" s="175">
        <f t="shared" si="6"/>
        <v>7.7626537154357811</v>
      </c>
      <c r="X13" s="175">
        <f t="shared" si="6"/>
        <v>8.5887879628027957</v>
      </c>
      <c r="Y13" s="175">
        <f t="shared" si="6"/>
        <v>8.2824622247872881</v>
      </c>
      <c r="Z13" s="175">
        <f t="shared" si="6"/>
        <v>5.1707855478624349</v>
      </c>
      <c r="AA13" s="175">
        <f t="shared" si="6"/>
        <v>3.5747158594418038</v>
      </c>
      <c r="AF13" s="62">
        <f>SUM(AF4:AF12)</f>
        <v>31088910</v>
      </c>
      <c r="AG13" s="63">
        <f>SUM(AG4:AG12)</f>
        <v>31088908</v>
      </c>
      <c r="AH13" s="57">
        <f t="shared" si="4"/>
        <v>31088908</v>
      </c>
      <c r="AI13" s="86">
        <f>SUM(AI4:AI12)</f>
        <v>0.99999999999999989</v>
      </c>
    </row>
    <row r="15" spans="1:35" x14ac:dyDescent="0.35">
      <c r="B15" s="176">
        <v>1</v>
      </c>
      <c r="C15" s="176">
        <v>2</v>
      </c>
      <c r="D15" s="176">
        <v>3</v>
      </c>
      <c r="E15" s="176">
        <v>4</v>
      </c>
      <c r="F15" s="176">
        <v>5</v>
      </c>
      <c r="G15" s="176">
        <v>6</v>
      </c>
      <c r="H15" s="176">
        <v>7</v>
      </c>
      <c r="I15" s="176">
        <v>8</v>
      </c>
      <c r="J15" s="176">
        <v>9</v>
      </c>
      <c r="K15" s="176">
        <v>10</v>
      </c>
      <c r="L15" s="176">
        <v>11</v>
      </c>
      <c r="M15" s="176">
        <v>12</v>
      </c>
      <c r="N15" s="176">
        <v>13</v>
      </c>
      <c r="O15" s="176">
        <v>14</v>
      </c>
      <c r="P15" s="176">
        <v>15</v>
      </c>
      <c r="Q15" s="176">
        <v>16</v>
      </c>
      <c r="R15" s="176">
        <v>17</v>
      </c>
      <c r="S15" s="176">
        <v>18</v>
      </c>
      <c r="T15" s="176">
        <v>19</v>
      </c>
      <c r="U15" s="176">
        <v>20</v>
      </c>
      <c r="V15" s="176">
        <v>21</v>
      </c>
      <c r="W15" s="176">
        <v>22</v>
      </c>
      <c r="X15" s="176">
        <v>23</v>
      </c>
      <c r="Y15" s="176">
        <v>24</v>
      </c>
      <c r="Z15" s="176">
        <v>25</v>
      </c>
      <c r="AA15" s="176">
        <v>26</v>
      </c>
      <c r="AB15" s="176">
        <v>27</v>
      </c>
      <c r="AC15" s="176">
        <v>28</v>
      </c>
      <c r="AD15" s="176">
        <v>29</v>
      </c>
      <c r="AE15" s="176">
        <v>30</v>
      </c>
      <c r="AF15" s="176">
        <v>31</v>
      </c>
      <c r="AG15" s="176">
        <v>32</v>
      </c>
      <c r="AH15" s="176">
        <v>33</v>
      </c>
      <c r="AI15" s="176">
        <v>34</v>
      </c>
    </row>
    <row r="21" spans="33:35" x14ac:dyDescent="0.35">
      <c r="AG21" s="34"/>
      <c r="AI21" s="34"/>
    </row>
    <row r="22" spans="33:35" x14ac:dyDescent="0.35">
      <c r="AG22" s="34"/>
      <c r="AI22" s="34"/>
    </row>
    <row r="23" spans="33:35" x14ac:dyDescent="0.35">
      <c r="AG23" s="34"/>
      <c r="AI23" s="34"/>
    </row>
    <row r="24" spans="33:35" x14ac:dyDescent="0.35">
      <c r="AG24" s="34"/>
      <c r="AI24" s="34"/>
    </row>
    <row r="25" spans="33:35" x14ac:dyDescent="0.35">
      <c r="AG25" s="34"/>
      <c r="AI25" s="34"/>
    </row>
    <row r="26" spans="33:35" x14ac:dyDescent="0.35">
      <c r="AG26" s="34"/>
      <c r="AI26" s="34"/>
    </row>
    <row r="27" spans="33:35" x14ac:dyDescent="0.35">
      <c r="AG27" s="34"/>
      <c r="AI27" s="34"/>
    </row>
    <row r="28" spans="33:35" x14ac:dyDescent="0.35">
      <c r="AG28" s="34"/>
      <c r="AI28" s="34"/>
    </row>
    <row r="29" spans="33:35" x14ac:dyDescent="0.35">
      <c r="AG29" s="34"/>
      <c r="AI29" s="34"/>
    </row>
    <row r="30" spans="33:35" x14ac:dyDescent="0.35">
      <c r="AG30" s="34"/>
      <c r="AI30" s="34"/>
    </row>
    <row r="31" spans="33:35" x14ac:dyDescent="0.35">
      <c r="AG31" s="34"/>
      <c r="AI31" s="34"/>
    </row>
    <row r="32" spans="33:35" x14ac:dyDescent="0.35">
      <c r="AG32" s="34"/>
      <c r="AI32" s="34"/>
    </row>
    <row r="33" spans="17:35" x14ac:dyDescent="0.35">
      <c r="AE33" s="1"/>
      <c r="AF33" s="34"/>
      <c r="AG33" s="34"/>
      <c r="AI33" s="34"/>
    </row>
    <row r="34" spans="17:35" x14ac:dyDescent="0.35">
      <c r="AE34" s="1"/>
      <c r="AF34" s="34"/>
      <c r="AG34" s="34"/>
      <c r="AI34" s="34"/>
    </row>
    <row r="35" spans="17:35" x14ac:dyDescent="0.35">
      <c r="AE35" s="1"/>
      <c r="AF35" s="34"/>
      <c r="AG35" s="34"/>
      <c r="AI35" s="34"/>
    </row>
    <row r="36" spans="17:35" x14ac:dyDescent="0.35">
      <c r="AE36" s="1"/>
      <c r="AF36" s="34"/>
      <c r="AG36" s="34"/>
      <c r="AI36" s="34"/>
    </row>
    <row r="37" spans="17:35" x14ac:dyDescent="0.35">
      <c r="AE37" s="1"/>
      <c r="AF37" s="34"/>
      <c r="AG37" s="34"/>
      <c r="AI37" s="34"/>
    </row>
    <row r="38" spans="17:35" x14ac:dyDescent="0.35">
      <c r="AE38" s="1"/>
      <c r="AF38" s="34"/>
      <c r="AG38" s="34"/>
      <c r="AI38" s="34"/>
    </row>
    <row r="39" spans="17:35" x14ac:dyDescent="0.35">
      <c r="AE39" s="1"/>
      <c r="AF39" s="34"/>
      <c r="AG39" s="34"/>
      <c r="AI39" s="34"/>
    </row>
    <row r="40" spans="17:35" x14ac:dyDescent="0.35">
      <c r="AE40" s="1"/>
      <c r="AF40" s="34"/>
      <c r="AG40" s="34"/>
      <c r="AI40" s="34"/>
    </row>
    <row r="41" spans="17:35" x14ac:dyDescent="0.35">
      <c r="AE41" s="1"/>
      <c r="AF41" s="34"/>
      <c r="AG41" s="34"/>
      <c r="AI41" s="34"/>
    </row>
    <row r="42" spans="17:35" x14ac:dyDescent="0.35">
      <c r="AE42" s="1"/>
      <c r="AF42" s="34"/>
      <c r="AG42" s="34"/>
      <c r="AI42" s="34"/>
    </row>
    <row r="43" spans="17:35" x14ac:dyDescent="0.35">
      <c r="AE43" s="1"/>
      <c r="AF43" s="34"/>
      <c r="AG43" s="34"/>
      <c r="AI43" s="34"/>
    </row>
    <row r="44" spans="17:35" x14ac:dyDescent="0.35">
      <c r="AE44" s="1"/>
      <c r="AF44" s="34"/>
      <c r="AG44" s="34"/>
      <c r="AI44" s="34"/>
    </row>
    <row r="45" spans="17:35" x14ac:dyDescent="0.35">
      <c r="AE45" s="1"/>
      <c r="AF45" s="34"/>
      <c r="AG45" s="34"/>
      <c r="AI45" s="34"/>
    </row>
    <row r="46" spans="17:35" x14ac:dyDescent="0.35">
      <c r="AE46" s="1"/>
      <c r="AF46" s="34"/>
      <c r="AG46" s="34"/>
      <c r="AI46" s="34"/>
    </row>
    <row r="47" spans="17:35" x14ac:dyDescent="0.35">
      <c r="AE47" s="1"/>
      <c r="AF47" s="34"/>
      <c r="AG47" s="34"/>
      <c r="AI47" s="34"/>
    </row>
    <row r="48" spans="17:35" x14ac:dyDescent="0.35">
      <c r="Q48" s="35" t="e">
        <f>#REF!-#REF!</f>
        <v>#REF!</v>
      </c>
      <c r="R48" s="35" t="e">
        <f>#REF!-#REF!</f>
        <v>#REF!</v>
      </c>
      <c r="S48" s="35" t="e">
        <f>#REF!-#REF!</f>
        <v>#REF!</v>
      </c>
      <c r="T48" s="35" t="e">
        <f>#REF!-#REF!</f>
        <v>#REF!</v>
      </c>
      <c r="U48" s="35" t="e">
        <f>#REF!-#REF!</f>
        <v>#REF!</v>
      </c>
      <c r="V48" s="35"/>
      <c r="W48" s="35"/>
      <c r="X48" s="35"/>
      <c r="Y48" s="35"/>
      <c r="Z48" s="35"/>
      <c r="AA48" s="35"/>
      <c r="AB48" s="35"/>
      <c r="AC48" s="35"/>
      <c r="AD48" s="35"/>
      <c r="AE48" s="1"/>
      <c r="AF48" s="34"/>
      <c r="AG48" s="34"/>
      <c r="AI48" s="34"/>
    </row>
    <row r="49" spans="17:35" x14ac:dyDescent="0.35">
      <c r="Q49" s="35" t="e">
        <f>#REF!-Q18</f>
        <v>#REF!</v>
      </c>
      <c r="R49" s="35" t="e">
        <f>#REF!-R18</f>
        <v>#REF!</v>
      </c>
      <c r="S49" s="35" t="e">
        <f>#REF!-S18</f>
        <v>#REF!</v>
      </c>
      <c r="T49" s="35" t="e">
        <f>#REF!-T18</f>
        <v>#REF!</v>
      </c>
      <c r="U49" s="35" t="e">
        <f>#REF!-U18</f>
        <v>#REF!</v>
      </c>
      <c r="V49" s="35"/>
      <c r="W49" s="35"/>
      <c r="X49" s="35"/>
      <c r="Y49" s="35"/>
      <c r="Z49" s="35"/>
      <c r="AA49" s="35"/>
      <c r="AB49" s="35"/>
      <c r="AC49" s="35"/>
      <c r="AD49" s="35"/>
      <c r="AE49" s="1"/>
      <c r="AF49" s="34"/>
      <c r="AG49" s="34"/>
      <c r="AI49" s="34"/>
    </row>
    <row r="50" spans="17:35" x14ac:dyDescent="0.35">
      <c r="Q50" s="35" t="e">
        <f>#REF!-Q19</f>
        <v>#REF!</v>
      </c>
      <c r="R50" s="35" t="e">
        <f>#REF!-R19</f>
        <v>#REF!</v>
      </c>
      <c r="S50" s="35" t="e">
        <f>#REF!-S19</f>
        <v>#REF!</v>
      </c>
      <c r="T50" s="35" t="e">
        <f>#REF!-T19</f>
        <v>#REF!</v>
      </c>
      <c r="U50" s="35" t="e">
        <f>#REF!-U19</f>
        <v>#REF!</v>
      </c>
      <c r="V50" s="35"/>
      <c r="W50" s="35"/>
      <c r="X50" s="35"/>
      <c r="Y50" s="35"/>
      <c r="Z50" s="35"/>
      <c r="AA50" s="35"/>
      <c r="AB50" s="35"/>
      <c r="AC50" s="35"/>
      <c r="AD50" s="35"/>
      <c r="AE50" s="1"/>
      <c r="AF50" s="34"/>
      <c r="AG50" s="34"/>
      <c r="AI50" s="34"/>
    </row>
    <row r="51" spans="17:35" x14ac:dyDescent="0.35">
      <c r="Q51" s="35" t="e">
        <f>#REF!-Q20</f>
        <v>#REF!</v>
      </c>
      <c r="R51" s="35" t="e">
        <f>#REF!-R20</f>
        <v>#REF!</v>
      </c>
      <c r="S51" s="35" t="e">
        <f>#REF!-S20</f>
        <v>#REF!</v>
      </c>
      <c r="T51" s="35" t="e">
        <f>#REF!-T20</f>
        <v>#REF!</v>
      </c>
      <c r="U51" s="35" t="e">
        <f>#REF!-U20</f>
        <v>#REF!</v>
      </c>
      <c r="V51" s="35"/>
      <c r="W51" s="35"/>
      <c r="X51" s="35"/>
      <c r="Y51" s="35"/>
      <c r="Z51" s="35"/>
      <c r="AA51" s="35"/>
      <c r="AB51" s="35"/>
      <c r="AC51" s="35"/>
      <c r="AD51" s="35"/>
      <c r="AG51" s="34"/>
      <c r="AI51" s="34"/>
    </row>
    <row r="52" spans="17:35" x14ac:dyDescent="0.35">
      <c r="Q52" s="35" t="e">
        <f>#REF!-Q21</f>
        <v>#REF!</v>
      </c>
      <c r="R52" s="35" t="e">
        <f>#REF!-R21</f>
        <v>#REF!</v>
      </c>
      <c r="S52" s="35" t="e">
        <f>#REF!-S21</f>
        <v>#REF!</v>
      </c>
      <c r="T52" s="35" t="e">
        <f>#REF!-T21</f>
        <v>#REF!</v>
      </c>
      <c r="U52" s="35" t="e">
        <f>#REF!-U21</f>
        <v>#REF!</v>
      </c>
      <c r="V52" s="35"/>
      <c r="W52" s="35"/>
      <c r="X52" s="35"/>
      <c r="Y52" s="35"/>
      <c r="Z52" s="35"/>
      <c r="AA52" s="35"/>
      <c r="AB52" s="35"/>
      <c r="AC52" s="35"/>
      <c r="AD52" s="35"/>
    </row>
    <row r="53" spans="17:35" x14ac:dyDescent="0.35">
      <c r="Q53" s="35" t="e">
        <f>#REF!-Q22</f>
        <v>#REF!</v>
      </c>
      <c r="R53" s="35" t="e">
        <f>#REF!-R22</f>
        <v>#REF!</v>
      </c>
      <c r="S53" s="35" t="e">
        <f>#REF!-S22</f>
        <v>#REF!</v>
      </c>
      <c r="T53" s="35" t="e">
        <f>#REF!-T22</f>
        <v>#REF!</v>
      </c>
      <c r="U53" s="35" t="e">
        <f>#REF!-U22</f>
        <v>#REF!</v>
      </c>
      <c r="V53" s="35"/>
      <c r="W53" s="35"/>
      <c r="X53" s="35"/>
      <c r="Y53" s="35"/>
      <c r="Z53" s="35"/>
      <c r="AA53" s="35"/>
      <c r="AB53" s="35"/>
      <c r="AC53" s="35"/>
      <c r="AD53" s="35"/>
    </row>
    <row r="54" spans="17:35" x14ac:dyDescent="0.35">
      <c r="Q54" s="35" t="e">
        <f>#REF!-Q23</f>
        <v>#REF!</v>
      </c>
      <c r="R54" s="35" t="e">
        <f>#REF!-R23</f>
        <v>#REF!</v>
      </c>
      <c r="S54" s="35" t="e">
        <f>#REF!-S23</f>
        <v>#REF!</v>
      </c>
      <c r="T54" s="35" t="e">
        <f>#REF!-T23</f>
        <v>#REF!</v>
      </c>
      <c r="U54" s="35" t="e">
        <f>#REF!-U23</f>
        <v>#REF!</v>
      </c>
      <c r="V54" s="35"/>
      <c r="W54" s="35"/>
      <c r="X54" s="35"/>
      <c r="Y54" s="35"/>
      <c r="Z54" s="35"/>
      <c r="AA54" s="35"/>
      <c r="AB54" s="35"/>
      <c r="AC54" s="35"/>
      <c r="AD54" s="35"/>
    </row>
    <row r="55" spans="17:35" x14ac:dyDescent="0.35">
      <c r="Q55" s="35" t="e">
        <f>#REF!-Q24</f>
        <v>#REF!</v>
      </c>
      <c r="R55" s="35" t="e">
        <f>#REF!-R24</f>
        <v>#REF!</v>
      </c>
      <c r="S55" s="35" t="e">
        <f>#REF!-S24</f>
        <v>#REF!</v>
      </c>
      <c r="T55" s="35" t="e">
        <f>#REF!-T24</f>
        <v>#REF!</v>
      </c>
      <c r="U55" s="35" t="e">
        <f>#REF!-U24</f>
        <v>#REF!</v>
      </c>
      <c r="V55" s="35"/>
      <c r="W55" s="35"/>
      <c r="X55" s="35"/>
      <c r="Y55" s="35"/>
      <c r="Z55" s="35"/>
      <c r="AA55" s="35"/>
      <c r="AB55" s="35"/>
      <c r="AC55" s="35"/>
      <c r="AD55" s="35"/>
    </row>
    <row r="56" spans="17:35" x14ac:dyDescent="0.35">
      <c r="Q56" s="35" t="e">
        <f>#REF!-Q25</f>
        <v>#REF!</v>
      </c>
      <c r="R56" s="35" t="e">
        <f>#REF!-R25</f>
        <v>#REF!</v>
      </c>
      <c r="S56" s="35" t="e">
        <f>#REF!-S25</f>
        <v>#REF!</v>
      </c>
      <c r="T56" s="35" t="e">
        <f>#REF!-T25</f>
        <v>#REF!</v>
      </c>
      <c r="U56" s="35" t="e">
        <f>#REF!-U25</f>
        <v>#REF!</v>
      </c>
      <c r="V56" s="35"/>
      <c r="W56" s="35"/>
      <c r="X56" s="35"/>
      <c r="Y56" s="35"/>
      <c r="Z56" s="35"/>
      <c r="AA56" s="35"/>
      <c r="AB56" s="35"/>
      <c r="AC56" s="35"/>
      <c r="AD56" s="35"/>
    </row>
    <row r="57" spans="17:35" x14ac:dyDescent="0.35">
      <c r="Q57" s="35" t="e">
        <f>#REF!-Q26</f>
        <v>#REF!</v>
      </c>
      <c r="R57" s="35" t="e">
        <f>#REF!-R26</f>
        <v>#REF!</v>
      </c>
      <c r="S57" s="35" t="e">
        <f>#REF!-S26</f>
        <v>#REF!</v>
      </c>
      <c r="T57" s="35" t="e">
        <f>#REF!-T26</f>
        <v>#REF!</v>
      </c>
      <c r="U57" s="35" t="e">
        <f>#REF!-U26</f>
        <v>#REF!</v>
      </c>
      <c r="V57" s="35"/>
      <c r="W57" s="35"/>
      <c r="X57" s="35"/>
      <c r="Y57" s="35"/>
      <c r="Z57" s="35"/>
      <c r="AA57" s="35"/>
      <c r="AB57" s="35"/>
      <c r="AC57" s="35"/>
      <c r="AD57" s="35"/>
    </row>
    <row r="58" spans="17:35" x14ac:dyDescent="0.35">
      <c r="Q58" s="35" t="e">
        <f>#REF!-Q27</f>
        <v>#REF!</v>
      </c>
      <c r="R58" s="35" t="e">
        <f>#REF!-R27</f>
        <v>#REF!</v>
      </c>
      <c r="S58" s="35" t="e">
        <f>#REF!-S27</f>
        <v>#REF!</v>
      </c>
      <c r="T58" s="35" t="e">
        <f>#REF!-T27</f>
        <v>#REF!</v>
      </c>
      <c r="U58" s="35" t="e">
        <f>#REF!-U27</f>
        <v>#REF!</v>
      </c>
      <c r="V58" s="35"/>
      <c r="W58" s="35"/>
      <c r="X58" s="35"/>
      <c r="Y58" s="35"/>
      <c r="Z58" s="35"/>
      <c r="AA58" s="35"/>
      <c r="AB58" s="35"/>
      <c r="AC58" s="35"/>
      <c r="AD58" s="35"/>
    </row>
    <row r="59" spans="17:35" x14ac:dyDescent="0.35">
      <c r="Q59" s="35" t="e">
        <f>#REF!-Q28</f>
        <v>#REF!</v>
      </c>
      <c r="R59" s="35" t="e">
        <f>#REF!-R28</f>
        <v>#REF!</v>
      </c>
      <c r="S59" s="35" t="e">
        <f>#REF!-S28</f>
        <v>#REF!</v>
      </c>
      <c r="T59" s="35" t="e">
        <f>#REF!-T28</f>
        <v>#REF!</v>
      </c>
      <c r="U59" s="35" t="e">
        <f>#REF!-U28</f>
        <v>#REF!</v>
      </c>
      <c r="V59" s="35"/>
      <c r="W59" s="35"/>
      <c r="X59" s="35"/>
      <c r="Y59" s="35"/>
      <c r="Z59" s="35"/>
      <c r="AA59" s="35"/>
      <c r="AB59" s="35"/>
      <c r="AC59" s="35"/>
      <c r="AD59" s="35"/>
    </row>
    <row r="60" spans="17:35" x14ac:dyDescent="0.35">
      <c r="Q60" s="35" t="e">
        <f>#REF!-Q29</f>
        <v>#REF!</v>
      </c>
      <c r="R60" s="35" t="e">
        <f>#REF!-R29</f>
        <v>#REF!</v>
      </c>
      <c r="S60" s="35" t="e">
        <f>#REF!-S29</f>
        <v>#REF!</v>
      </c>
      <c r="T60" s="35" t="e">
        <f>#REF!-T29</f>
        <v>#REF!</v>
      </c>
      <c r="U60" s="35" t="e">
        <f>#REF!-U29</f>
        <v>#REF!</v>
      </c>
      <c r="V60" s="35"/>
      <c r="W60" s="35"/>
      <c r="X60" s="35"/>
      <c r="Y60" s="35"/>
      <c r="Z60" s="35"/>
      <c r="AA60" s="35"/>
      <c r="AB60" s="35"/>
      <c r="AC60" s="35"/>
      <c r="AD60" s="35"/>
    </row>
    <row r="61" spans="17:35" x14ac:dyDescent="0.35">
      <c r="Q61" s="35" t="e">
        <f>#REF!-Q30</f>
        <v>#REF!</v>
      </c>
      <c r="R61" s="35" t="e">
        <f>#REF!-R30</f>
        <v>#REF!</v>
      </c>
      <c r="S61" s="35" t="e">
        <f>#REF!-S30</f>
        <v>#REF!</v>
      </c>
      <c r="T61" s="35" t="e">
        <f>#REF!-T30</f>
        <v>#REF!</v>
      </c>
      <c r="U61" s="35" t="e">
        <f>#REF!-U30</f>
        <v>#REF!</v>
      </c>
      <c r="V61" s="35"/>
      <c r="W61" s="35"/>
      <c r="X61" s="35"/>
      <c r="Y61" s="35"/>
      <c r="Z61" s="35"/>
      <c r="AA61" s="35"/>
      <c r="AB61" s="35"/>
      <c r="AC61" s="35"/>
      <c r="AD61" s="35"/>
    </row>
    <row r="62" spans="17:35" x14ac:dyDescent="0.35">
      <c r="Q62" s="35" t="e">
        <f>#REF!-Q31</f>
        <v>#REF!</v>
      </c>
      <c r="R62" s="35" t="e">
        <f>#REF!-R31</f>
        <v>#REF!</v>
      </c>
      <c r="S62" s="35" t="e">
        <f>#REF!-S31</f>
        <v>#REF!</v>
      </c>
      <c r="T62" s="35" t="e">
        <f>#REF!-T31</f>
        <v>#REF!</v>
      </c>
      <c r="U62" s="35" t="e">
        <f>#REF!-U31</f>
        <v>#REF!</v>
      </c>
      <c r="V62" s="35"/>
      <c r="W62" s="35"/>
      <c r="X62" s="35"/>
      <c r="Y62" s="35"/>
      <c r="Z62" s="35"/>
      <c r="AA62" s="35"/>
      <c r="AB62" s="35"/>
      <c r="AC62" s="35"/>
      <c r="AD62" s="35"/>
    </row>
    <row r="63" spans="17:35" x14ac:dyDescent="0.35">
      <c r="Q63" s="35" t="e">
        <f>#REF!-Q32</f>
        <v>#REF!</v>
      </c>
      <c r="R63" s="35" t="e">
        <f>#REF!-R32</f>
        <v>#REF!</v>
      </c>
      <c r="S63" s="35" t="e">
        <f>#REF!-S32</f>
        <v>#REF!</v>
      </c>
      <c r="T63" s="35" t="e">
        <f>#REF!-T32</f>
        <v>#REF!</v>
      </c>
      <c r="U63" s="35" t="e">
        <f>#REF!-U32</f>
        <v>#REF!</v>
      </c>
      <c r="V63" s="35"/>
      <c r="W63" s="35"/>
      <c r="X63" s="35"/>
      <c r="Y63" s="35"/>
      <c r="Z63" s="35"/>
      <c r="AA63" s="35"/>
      <c r="AB63" s="35"/>
      <c r="AC63" s="35"/>
      <c r="AD63" s="35"/>
    </row>
    <row r="64" spans="17:35" x14ac:dyDescent="0.35">
      <c r="Q64" s="35">
        <f t="shared" ref="Q64:U77" si="7">Q4-Q33</f>
        <v>0.87564005228526931</v>
      </c>
      <c r="R64" s="35">
        <f t="shared" si="7"/>
        <v>0.77503055485979788</v>
      </c>
      <c r="S64" s="35">
        <f t="shared" si="7"/>
        <v>0.99394386864078665</v>
      </c>
      <c r="T64" s="35">
        <f t="shared" si="7"/>
        <v>1</v>
      </c>
      <c r="U64" s="35">
        <f t="shared" si="7"/>
        <v>1</v>
      </c>
      <c r="V64" s="35"/>
      <c r="W64" s="35"/>
      <c r="X64" s="35"/>
      <c r="Y64" s="35"/>
      <c r="Z64" s="35"/>
      <c r="AA64" s="35"/>
      <c r="AB64" s="35"/>
      <c r="AC64" s="35"/>
      <c r="AD64" s="35"/>
    </row>
    <row r="65" spans="17:30" x14ac:dyDescent="0.35">
      <c r="Q65" s="35">
        <f t="shared" si="7"/>
        <v>0.71989025310099031</v>
      </c>
      <c r="R65" s="35">
        <f t="shared" si="7"/>
        <v>1</v>
      </c>
      <c r="S65" s="35">
        <f t="shared" si="7"/>
        <v>0.96584667320849893</v>
      </c>
      <c r="T65" s="35">
        <f t="shared" si="7"/>
        <v>0.72103366358368082</v>
      </c>
      <c r="U65" s="35">
        <f t="shared" si="7"/>
        <v>0.55882312035985282</v>
      </c>
      <c r="V65" s="35"/>
      <c r="W65" s="35"/>
      <c r="X65" s="35"/>
      <c r="Y65" s="35"/>
      <c r="Z65" s="35"/>
      <c r="AA65" s="35"/>
      <c r="AB65" s="35"/>
      <c r="AC65" s="35"/>
      <c r="AD65" s="35"/>
    </row>
    <row r="66" spans="17:30" x14ac:dyDescent="0.35">
      <c r="Q66" s="35">
        <f t="shared" si="7"/>
        <v>1</v>
      </c>
      <c r="R66" s="35">
        <f t="shared" si="7"/>
        <v>0.86990603633048058</v>
      </c>
      <c r="S66" s="35">
        <f t="shared" si="7"/>
        <v>0.97972297184354462</v>
      </c>
      <c r="T66" s="35">
        <f t="shared" si="7"/>
        <v>0.46462621658099973</v>
      </c>
      <c r="U66" s="35">
        <f t="shared" si="7"/>
        <v>0.41395219644432674</v>
      </c>
      <c r="V66" s="35"/>
      <c r="W66" s="35"/>
      <c r="X66" s="35"/>
      <c r="Y66" s="35"/>
      <c r="Z66" s="35"/>
      <c r="AA66" s="35"/>
      <c r="AB66" s="35"/>
      <c r="AC66" s="35"/>
      <c r="AD66" s="35"/>
    </row>
    <row r="67" spans="17:30" x14ac:dyDescent="0.35">
      <c r="Q67" s="35">
        <f t="shared" si="7"/>
        <v>0.65840630243288589</v>
      </c>
      <c r="R67" s="35">
        <f t="shared" si="7"/>
        <v>0.75518339234094922</v>
      </c>
      <c r="S67" s="35">
        <f t="shared" si="7"/>
        <v>0.87944722720164437</v>
      </c>
      <c r="T67" s="35">
        <f t="shared" si="7"/>
        <v>0.69475305824738842</v>
      </c>
      <c r="U67" s="35">
        <f t="shared" si="7"/>
        <v>0.9199792597315517</v>
      </c>
      <c r="V67" s="35"/>
      <c r="W67" s="35"/>
      <c r="X67" s="35"/>
      <c r="Y67" s="35"/>
      <c r="Z67" s="35"/>
      <c r="AA67" s="35"/>
      <c r="AB67" s="35"/>
      <c r="AC67" s="35"/>
      <c r="AD67" s="35"/>
    </row>
    <row r="68" spans="17:30" x14ac:dyDescent="0.35">
      <c r="Q68" s="35">
        <f t="shared" si="7"/>
        <v>0.96786290322580626</v>
      </c>
      <c r="R68" s="35">
        <f t="shared" si="7"/>
        <v>0.78180724946189317</v>
      </c>
      <c r="S68" s="35">
        <f t="shared" si="7"/>
        <v>0.86414680046316017</v>
      </c>
      <c r="T68" s="35">
        <f t="shared" si="7"/>
        <v>0.53234565059065764</v>
      </c>
      <c r="U68" s="35">
        <f t="shared" si="7"/>
        <v>0.68091674892636722</v>
      </c>
      <c r="V68" s="35"/>
      <c r="W68" s="35"/>
      <c r="X68" s="35"/>
      <c r="Y68" s="35"/>
      <c r="Z68" s="35"/>
      <c r="AA68" s="35"/>
      <c r="AB68" s="35"/>
      <c r="AC68" s="35"/>
      <c r="AD68" s="35"/>
    </row>
    <row r="69" spans="17:30" x14ac:dyDescent="0.35">
      <c r="Q69" s="35">
        <f t="shared" si="7"/>
        <v>1</v>
      </c>
      <c r="R69" s="35">
        <f t="shared" si="7"/>
        <v>0.92324874017448699</v>
      </c>
      <c r="S69" s="35">
        <f t="shared" si="7"/>
        <v>0.9609779667840227</v>
      </c>
      <c r="T69" s="35">
        <f t="shared" si="7"/>
        <v>0.87016192570306217</v>
      </c>
      <c r="U69" s="35">
        <f t="shared" si="7"/>
        <v>0.94249998709839355</v>
      </c>
      <c r="V69" s="35"/>
      <c r="W69" s="35"/>
      <c r="X69" s="35"/>
      <c r="Y69" s="35"/>
      <c r="Z69" s="35"/>
      <c r="AA69" s="35"/>
      <c r="AB69" s="35"/>
      <c r="AC69" s="35"/>
      <c r="AD69" s="35"/>
    </row>
    <row r="70" spans="17:30" x14ac:dyDescent="0.35">
      <c r="Q70" s="35">
        <f t="shared" si="7"/>
        <v>0.84110696517412942</v>
      </c>
      <c r="R70" s="35">
        <f t="shared" si="7"/>
        <v>0.68066696360427215</v>
      </c>
      <c r="S70" s="35">
        <f t="shared" si="7"/>
        <v>0.80006670227391952</v>
      </c>
      <c r="T70" s="35">
        <f t="shared" si="7"/>
        <v>0.62936587210133077</v>
      </c>
      <c r="U70" s="35">
        <f t="shared" si="7"/>
        <v>0.71661738727795865</v>
      </c>
      <c r="V70" s="35"/>
      <c r="W70" s="35"/>
      <c r="X70" s="35"/>
      <c r="Y70" s="35"/>
      <c r="Z70" s="35"/>
      <c r="AA70" s="35"/>
      <c r="AB70" s="35"/>
      <c r="AC70" s="35"/>
      <c r="AD70" s="35"/>
    </row>
    <row r="71" spans="17:30" x14ac:dyDescent="0.35">
      <c r="Q71" s="35">
        <f t="shared" si="7"/>
        <v>0.8728398952800549</v>
      </c>
      <c r="R71" s="35">
        <f t="shared" si="7"/>
        <v>0.92372006662251616</v>
      </c>
      <c r="S71" s="35">
        <f t="shared" si="7"/>
        <v>1</v>
      </c>
      <c r="T71" s="35">
        <f t="shared" si="7"/>
        <v>0.51992551077692573</v>
      </c>
      <c r="U71" s="35">
        <f t="shared" si="7"/>
        <v>0.43623406231346479</v>
      </c>
      <c r="V71" s="35"/>
      <c r="W71" s="35"/>
      <c r="X71" s="35"/>
      <c r="Y71" s="35"/>
      <c r="Z71" s="35"/>
      <c r="AA71" s="35"/>
      <c r="AB71" s="35"/>
      <c r="AC71" s="35"/>
      <c r="AD71" s="35"/>
    </row>
    <row r="72" spans="17:30" x14ac:dyDescent="0.35">
      <c r="Q72" s="35">
        <f t="shared" si="7"/>
        <v>0.61992725880551292</v>
      </c>
      <c r="R72" s="35">
        <f t="shared" si="7"/>
        <v>1</v>
      </c>
      <c r="S72" s="35">
        <f t="shared" si="7"/>
        <v>1</v>
      </c>
      <c r="T72" s="35">
        <f t="shared" si="7"/>
        <v>1</v>
      </c>
      <c r="U72" s="35">
        <f t="shared" si="7"/>
        <v>1</v>
      </c>
      <c r="V72" s="35"/>
      <c r="W72" s="35"/>
      <c r="X72" s="35"/>
      <c r="Y72" s="35"/>
      <c r="Z72" s="35"/>
      <c r="AA72" s="35"/>
      <c r="AB72" s="35"/>
      <c r="AC72" s="35"/>
      <c r="AD72" s="35"/>
    </row>
    <row r="73" spans="17:30" x14ac:dyDescent="0.35">
      <c r="Q73" s="35">
        <f t="shared" si="7"/>
        <v>7.5556736303046499</v>
      </c>
      <c r="R73" s="35">
        <f t="shared" si="7"/>
        <v>7.709563003394396</v>
      </c>
      <c r="S73" s="35">
        <f t="shared" si="7"/>
        <v>8.4441522104155773</v>
      </c>
      <c r="T73" s="35">
        <f t="shared" si="7"/>
        <v>6.4322118975840441</v>
      </c>
      <c r="U73" s="35">
        <f t="shared" si="7"/>
        <v>6.6690227621519149</v>
      </c>
      <c r="V73" s="35"/>
      <c r="W73" s="35"/>
      <c r="X73" s="35"/>
      <c r="Y73" s="35"/>
      <c r="Z73" s="35"/>
      <c r="AA73" s="35"/>
      <c r="AB73" s="35"/>
      <c r="AC73" s="35"/>
      <c r="AD73" s="35"/>
    </row>
    <row r="74" spans="17:30" x14ac:dyDescent="0.35">
      <c r="Q74" s="35">
        <f t="shared" si="7"/>
        <v>0</v>
      </c>
      <c r="R74" s="35">
        <f t="shared" si="7"/>
        <v>0</v>
      </c>
      <c r="S74" s="35">
        <f t="shared" si="7"/>
        <v>0</v>
      </c>
      <c r="T74" s="35">
        <f t="shared" si="7"/>
        <v>0</v>
      </c>
      <c r="U74" s="35">
        <f t="shared" si="7"/>
        <v>0</v>
      </c>
      <c r="V74" s="35"/>
      <c r="W74" s="35"/>
      <c r="X74" s="35"/>
      <c r="Y74" s="35"/>
      <c r="Z74" s="35"/>
      <c r="AA74" s="35"/>
      <c r="AB74" s="35"/>
      <c r="AC74" s="35"/>
      <c r="AD74" s="35"/>
    </row>
    <row r="75" spans="17:30" x14ac:dyDescent="0.35">
      <c r="Q75" s="35">
        <f t="shared" si="7"/>
        <v>16</v>
      </c>
      <c r="R75" s="35">
        <f t="shared" si="7"/>
        <v>17</v>
      </c>
      <c r="S75" s="35">
        <f t="shared" si="7"/>
        <v>18</v>
      </c>
      <c r="T75" s="35">
        <f t="shared" si="7"/>
        <v>19</v>
      </c>
      <c r="U75" s="35">
        <f t="shared" si="7"/>
        <v>20</v>
      </c>
      <c r="V75" s="35"/>
      <c r="W75" s="35"/>
      <c r="X75" s="35"/>
      <c r="Y75" s="35"/>
      <c r="Z75" s="35"/>
      <c r="AA75" s="35"/>
      <c r="AB75" s="35"/>
      <c r="AC75" s="35"/>
      <c r="AD75" s="35"/>
    </row>
    <row r="76" spans="17:30" x14ac:dyDescent="0.35">
      <c r="Q76" s="35">
        <f t="shared" si="7"/>
        <v>0</v>
      </c>
      <c r="R76" s="35">
        <f t="shared" si="7"/>
        <v>0</v>
      </c>
      <c r="S76" s="35">
        <f t="shared" si="7"/>
        <v>0</v>
      </c>
      <c r="T76" s="35">
        <f t="shared" si="7"/>
        <v>0</v>
      </c>
      <c r="U76" s="35">
        <f t="shared" si="7"/>
        <v>0</v>
      </c>
      <c r="V76" s="35"/>
      <c r="W76" s="35"/>
      <c r="X76" s="35"/>
      <c r="Y76" s="35"/>
      <c r="Z76" s="35"/>
      <c r="AA76" s="35"/>
      <c r="AB76" s="35"/>
      <c r="AC76" s="35"/>
      <c r="AD76" s="35"/>
    </row>
    <row r="77" spans="17:30" x14ac:dyDescent="0.35">
      <c r="Q77" s="35">
        <f t="shared" si="7"/>
        <v>0</v>
      </c>
      <c r="R77" s="35">
        <f t="shared" si="7"/>
        <v>0</v>
      </c>
      <c r="S77" s="35">
        <f t="shared" si="7"/>
        <v>0</v>
      </c>
      <c r="T77" s="35">
        <f t="shared" si="7"/>
        <v>0</v>
      </c>
      <c r="U77" s="35">
        <f t="shared" si="7"/>
        <v>0</v>
      </c>
      <c r="V77" s="35"/>
      <c r="W77" s="35"/>
      <c r="X77" s="35"/>
      <c r="Y77" s="35"/>
      <c r="Z77" s="35"/>
      <c r="AA77" s="35"/>
      <c r="AB77" s="35"/>
      <c r="AC77" s="35"/>
      <c r="AD77" s="35"/>
    </row>
    <row r="78" spans="17:30" x14ac:dyDescent="0.35">
      <c r="Q78" s="35"/>
    </row>
    <row r="79" spans="17:30" x14ac:dyDescent="0.35">
      <c r="Q79" s="35"/>
    </row>
    <row r="80" spans="17:30" x14ac:dyDescent="0.35">
      <c r="Q80" s="35"/>
    </row>
    <row r="81" spans="17:17" x14ac:dyDescent="0.35">
      <c r="Q81" s="35"/>
    </row>
  </sheetData>
  <pageMargins left="0.70866141732283472" right="0.70866141732283472" top="0.74803149606299213" bottom="0.74803149606299213" header="0.31496062992125984" footer="0.31496062992125984"/>
  <pageSetup scale="80" orientation="landscape" verticalDpi="0" r:id="rId1"/>
  <ignoredErrors>
    <ignoredError sqref="M1" twoDigitTextYear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1F8B7-41F6-4F66-B4E8-D8317FE398B0}">
  <sheetPr>
    <tabColor theme="6" tint="-0.249977111117893"/>
  </sheetPr>
  <dimension ref="A1:J16"/>
  <sheetViews>
    <sheetView zoomScale="80" zoomScaleNormal="80" workbookViewId="0">
      <selection activeCell="K29" sqref="K29"/>
    </sheetView>
  </sheetViews>
  <sheetFormatPr baseColWidth="10" defaultRowHeight="14.5" x14ac:dyDescent="0.35"/>
  <cols>
    <col min="1" max="1" width="48" customWidth="1"/>
    <col min="2" max="2" width="13.1796875" customWidth="1"/>
    <col min="3" max="3" width="19.1796875" customWidth="1"/>
    <col min="4" max="5" width="14.81640625" customWidth="1"/>
    <col min="6" max="7" width="13.54296875" customWidth="1"/>
    <col min="8" max="8" width="13" customWidth="1"/>
    <col min="9" max="9" width="13.7265625" customWidth="1"/>
    <col min="10" max="10" width="14.1796875" customWidth="1"/>
  </cols>
  <sheetData>
    <row r="1" spans="1:10" x14ac:dyDescent="0.35">
      <c r="A1" s="15"/>
      <c r="B1" s="15"/>
    </row>
    <row r="2" spans="1:10" x14ac:dyDescent="0.35">
      <c r="B2" s="150">
        <v>1</v>
      </c>
      <c r="C2" s="150">
        <v>2</v>
      </c>
      <c r="D2" s="150">
        <v>6</v>
      </c>
      <c r="E2" s="150">
        <v>7</v>
      </c>
      <c r="F2" s="150">
        <v>8</v>
      </c>
      <c r="G2" s="150">
        <v>9</v>
      </c>
      <c r="H2" s="150">
        <v>10</v>
      </c>
      <c r="I2" s="150">
        <v>11</v>
      </c>
      <c r="J2" s="150">
        <v>12</v>
      </c>
    </row>
    <row r="3" spans="1:10" ht="15" customHeight="1" thickBot="1" x14ac:dyDescent="0.4">
      <c r="A3" s="209"/>
      <c r="B3" s="157"/>
      <c r="C3" s="157"/>
      <c r="D3" s="292" t="s">
        <v>218</v>
      </c>
      <c r="E3" s="293"/>
      <c r="F3" s="293"/>
      <c r="G3" s="293"/>
      <c r="H3" s="293"/>
      <c r="I3" s="293"/>
      <c r="J3" s="294"/>
    </row>
    <row r="4" spans="1:10" ht="39.5" thickBot="1" x14ac:dyDescent="0.4">
      <c r="A4" s="208" t="s">
        <v>8</v>
      </c>
      <c r="B4" s="210" t="s">
        <v>133</v>
      </c>
      <c r="C4" s="210" t="s">
        <v>16</v>
      </c>
      <c r="D4" s="77" t="s">
        <v>78</v>
      </c>
      <c r="E4" s="77" t="s">
        <v>79</v>
      </c>
      <c r="F4" s="77" t="s">
        <v>80</v>
      </c>
      <c r="G4" s="77" t="s">
        <v>81</v>
      </c>
      <c r="H4" s="77" t="s">
        <v>82</v>
      </c>
      <c r="I4" s="77" t="s">
        <v>83</v>
      </c>
      <c r="J4" s="77" t="s">
        <v>104</v>
      </c>
    </row>
    <row r="5" spans="1:10" x14ac:dyDescent="0.35">
      <c r="A5" s="72" t="s">
        <v>9</v>
      </c>
      <c r="B5" s="81" t="s">
        <v>1</v>
      </c>
      <c r="C5" s="73" t="s">
        <v>17</v>
      </c>
      <c r="D5" s="75">
        <f>IFERROR(VLOOKUP(B5,'Publicaciones BD'!$B$4:$E$12,4,0),0)</f>
        <v>1062591.4337327967</v>
      </c>
      <c r="E5" s="75">
        <f>IFERROR(VLOOKUP(B5,'Acreditación BD'!$B$4:$K$12,10,0),0)</f>
        <v>331054.89216867462</v>
      </c>
      <c r="F5" s="75">
        <f>IFERROR(VLOOKUP(B5,'Doctorado JC BD'!$B$4:$E$12,4,0),0)</f>
        <v>674311.37698815565</v>
      </c>
      <c r="G5" s="75">
        <f>IFERROR(VLOOKUP(B5,'Programas Doct. Acreditados BD'!$B$4:$E$12,4,0),0)</f>
        <v>755996.25111111102</v>
      </c>
      <c r="H5" s="75">
        <f>IFERROR(VLOOKUP(B5,'Académicos JC BD'!$B$4:$E$12,4,0),0)</f>
        <v>652177.9400219298</v>
      </c>
      <c r="I5" s="75">
        <f>IFERROR(VLOOKUP(B5,'Matrícula Regular Pre BD'!$B$4:$E$12,4,0),0)</f>
        <v>536527.98181299097</v>
      </c>
      <c r="J5" s="211">
        <f>SUM(D5:I5)</f>
        <v>4012659.875835659</v>
      </c>
    </row>
    <row r="6" spans="1:10" x14ac:dyDescent="0.35">
      <c r="A6" s="71" t="s">
        <v>10</v>
      </c>
      <c r="B6" s="82" t="s">
        <v>2</v>
      </c>
      <c r="C6" s="65" t="s">
        <v>17</v>
      </c>
      <c r="D6" s="70">
        <f>IFERROR(VLOOKUP(B6,'Publicaciones BD'!$B$4:$E$12,4,0),0)</f>
        <v>365059.08145304746</v>
      </c>
      <c r="E6" s="70">
        <f>IFERROR(VLOOKUP(B6,'Acreditación BD'!$B$4:$K$12,10,0),0)</f>
        <v>331054.89216867462</v>
      </c>
      <c r="F6" s="70">
        <f>IFERROR(VLOOKUP(B6,'Doctorado JC BD'!$B$4:$E$12,4,0),0)</f>
        <v>556022.23299492383</v>
      </c>
      <c r="G6" s="70">
        <f>IFERROR(VLOOKUP(B6,'Programas Doct. Acreditados BD'!$B$4:$E$12,4,0),0)</f>
        <v>639689.13555555558</v>
      </c>
      <c r="H6" s="70">
        <f>IFERROR(VLOOKUP(B6,'Académicos JC BD'!$B$4:$E$12,4,0),0)</f>
        <v>500918.56864035089</v>
      </c>
      <c r="I6" s="70">
        <f>IFERROR(VLOOKUP(B6,'Matrícula Regular Pre BD'!$B$4:$E$12,4,0),0)</f>
        <v>422867.79236817011</v>
      </c>
      <c r="J6" s="211">
        <f t="shared" ref="J6:J13" si="0">SUM(D6:I6)</f>
        <v>2815611.7031807229</v>
      </c>
    </row>
    <row r="7" spans="1:10" x14ac:dyDescent="0.35">
      <c r="A7" s="71" t="s">
        <v>11</v>
      </c>
      <c r="B7" s="82" t="s">
        <v>3</v>
      </c>
      <c r="C7" s="65" t="s">
        <v>17</v>
      </c>
      <c r="D7" s="70">
        <f>IFERROR(VLOOKUP(B7,'Publicaciones BD'!$B$4:$E$12,4,0),0)</f>
        <v>249171.19854882502</v>
      </c>
      <c r="E7" s="70">
        <f>IFERROR(VLOOKUP(B7,'Acreditación BD'!$B$4:$K$12,10,0),0)</f>
        <v>331054.89216867462</v>
      </c>
      <c r="F7" s="70">
        <f>IFERROR(VLOOKUP(B7,'Doctorado JC BD'!$B$4:$E$12,4,0),0)</f>
        <v>299201.95245346869</v>
      </c>
      <c r="G7" s="70">
        <f>IFERROR(VLOOKUP(B7,'Programas Doct. Acreditados BD'!$B$4:$E$12,4,0),0)</f>
        <v>348921.34666666668</v>
      </c>
      <c r="H7" s="70">
        <f>IFERROR(VLOOKUP(B7,'Académicos JC BD'!$B$4:$E$12,4,0),0)</f>
        <v>256608.03925438598</v>
      </c>
      <c r="I7" s="70">
        <f>IFERROR(VLOOKUP(B7,'Matrícula Regular Pre BD'!$B$4:$E$12,4,0),0)</f>
        <v>281129.16837399296</v>
      </c>
      <c r="J7" s="211">
        <f t="shared" si="0"/>
        <v>1766086.5974660139</v>
      </c>
    </row>
    <row r="8" spans="1:10" x14ac:dyDescent="0.35">
      <c r="A8" s="71" t="s">
        <v>12</v>
      </c>
      <c r="B8" s="82" t="s">
        <v>4</v>
      </c>
      <c r="C8" s="65" t="s">
        <v>17</v>
      </c>
      <c r="D8" s="70">
        <f>IFERROR(VLOOKUP(B8,'Publicaciones BD'!$B$4:$E$12,4,0),0)</f>
        <v>212420.28430858537</v>
      </c>
      <c r="E8" s="70">
        <f>IFERROR(VLOOKUP(B8,'Acreditación BD'!$B$4:$K$12,10,0),0)</f>
        <v>315290.37349397584</v>
      </c>
      <c r="F8" s="70">
        <f>IFERROR(VLOOKUP(B8,'Doctorado JC BD'!$B$4:$E$12,4,0),0)</f>
        <v>301099.63925549918</v>
      </c>
      <c r="G8" s="70">
        <f>IFERROR(VLOOKUP(B8,'Programas Doct. Acreditados BD'!$B$4:$E$12,4,0),0)</f>
        <v>213229.71185185187</v>
      </c>
      <c r="H8" s="70">
        <f>IFERROR(VLOOKUP(B8,'Académicos JC BD'!$B$4:$E$12,4,0),0)</f>
        <v>315636.08662280702</v>
      </c>
      <c r="I8" s="70">
        <f>IFERROR(VLOOKUP(B8,'Matrícula Regular Pre BD'!$B$4:$E$12,4,0),0)</f>
        <v>285332.72348781471</v>
      </c>
      <c r="J8" s="211">
        <f t="shared" si="0"/>
        <v>1643008.8190205339</v>
      </c>
    </row>
    <row r="9" spans="1:10" x14ac:dyDescent="0.35">
      <c r="A9" s="71" t="s">
        <v>13</v>
      </c>
      <c r="B9" s="82" t="s">
        <v>5</v>
      </c>
      <c r="C9" s="65" t="s">
        <v>17</v>
      </c>
      <c r="D9" s="70">
        <f>IFERROR(VLOOKUP(B9,'Publicaciones BD'!$B$4:$E$12,4,0),0)</f>
        <v>208990.19897949632</v>
      </c>
      <c r="E9" s="70">
        <f>IFERROR(VLOOKUP(B9,'Acreditación BD'!$B$4:$K$12,10,0),0)</f>
        <v>315290.37349397584</v>
      </c>
      <c r="F9" s="70">
        <f>IFERROR(VLOOKUP(B9,'Doctorado JC BD'!$B$4:$E$12,4,0),0)</f>
        <v>196094.30287648056</v>
      </c>
      <c r="G9" s="70">
        <f>IFERROR(VLOOKUP(B9,'Programas Doct. Acreditados BD'!$B$4:$E$12,4,0),0)</f>
        <v>155076.15407407409</v>
      </c>
      <c r="H9" s="70">
        <f>IFERROR(VLOOKUP(B9,'Académicos JC BD'!$B$4:$E$12,4,0),0)</f>
        <v>198399.82587719298</v>
      </c>
      <c r="I9" s="70">
        <f>IFERROR(VLOOKUP(B9,'Matrícula Regular Pre BD'!$B$4:$E$12,4,0),0)</f>
        <v>305053.30822101753</v>
      </c>
      <c r="J9" s="211">
        <f t="shared" si="0"/>
        <v>1378904.1635222372</v>
      </c>
    </row>
    <row r="10" spans="1:10" x14ac:dyDescent="0.35">
      <c r="A10" s="71" t="s">
        <v>14</v>
      </c>
      <c r="B10" s="82" t="s">
        <v>6</v>
      </c>
      <c r="C10" s="65" t="s">
        <v>17</v>
      </c>
      <c r="D10" s="70">
        <f>IFERROR(VLOOKUP(B10,'Publicaciones BD'!$B$4:$E$12,4,0),0)</f>
        <v>174934.35178354089</v>
      </c>
      <c r="E10" s="70">
        <f>IFERROR(VLOOKUP(B10,'Acreditación BD'!$B$4:$K$12,10,0),0)</f>
        <v>315290.37349397584</v>
      </c>
      <c r="F10" s="70">
        <f>IFERROR(VLOOKUP(B10,'Doctorado JC BD'!$B$4:$E$12,4,0),0)</f>
        <v>180280.24619289342</v>
      </c>
      <c r="G10" s="70">
        <f>IFERROR(VLOOKUP(B10,'Programas Doct. Acreditados BD'!$B$4:$E$12,4,0),0)</f>
        <v>193845.19259259259</v>
      </c>
      <c r="H10" s="70">
        <f>IFERROR(VLOOKUP(B10,'Académicos JC BD'!$B$4:$E$12,4,0),0)</f>
        <v>194710.57291666669</v>
      </c>
      <c r="I10" s="70">
        <f>IFERROR(VLOOKUP(B10,'Matrícula Regular Pre BD'!$B$4:$E$12,4,0),0)</f>
        <v>181458.93579236002</v>
      </c>
      <c r="J10" s="211">
        <f t="shared" si="0"/>
        <v>1240519.6727720294</v>
      </c>
    </row>
    <row r="11" spans="1:10" x14ac:dyDescent="0.35">
      <c r="A11" s="71" t="s">
        <v>15</v>
      </c>
      <c r="B11" s="82" t="s">
        <v>7</v>
      </c>
      <c r="C11" s="65" t="s">
        <v>17</v>
      </c>
      <c r="D11" s="70">
        <f>IFERROR(VLOOKUP(B11,'Publicaciones BD'!$B$4:$E$12,4,0),0)</f>
        <v>84282.096657616334</v>
      </c>
      <c r="E11" s="70">
        <f>IFERROR(VLOOKUP(B11,'Acreditación BD'!$B$4:$K$12,10,0),0)</f>
        <v>299525.85481927707</v>
      </c>
      <c r="F11" s="70">
        <f>IFERROR(VLOOKUP(B11,'Doctorado JC BD'!$B$4:$E$12,4,0),0)</f>
        <v>141693.94788494078</v>
      </c>
      <c r="G11" s="70">
        <f>IFERROR(VLOOKUP(B11,'Programas Doct. Acreditados BD'!$B$4:$E$12,4,0),0)</f>
        <v>77538.077037037045</v>
      </c>
      <c r="H11" s="70">
        <f>IFERROR(VLOOKUP(B11,'Académicos JC BD'!$B$4:$E$12,4,0),0)</f>
        <v>181183.31206140353</v>
      </c>
      <c r="I11" s="70">
        <f>IFERROR(VLOOKUP(B11,'Matrícula Regular Pre BD'!$B$4:$E$12,4,0),0)</f>
        <v>180424.46715106795</v>
      </c>
      <c r="J11" s="211">
        <f t="shared" si="0"/>
        <v>964647.75561134261</v>
      </c>
    </row>
    <row r="12" spans="1:10" x14ac:dyDescent="0.35">
      <c r="A12" s="71" t="s">
        <v>21</v>
      </c>
      <c r="B12" s="82" t="s">
        <v>18</v>
      </c>
      <c r="C12" s="65" t="s">
        <v>17</v>
      </c>
      <c r="D12" s="70">
        <f>IFERROR(VLOOKUP(B12,'Publicaciones BD'!$B$4:$E$12,4,0),0)</f>
        <v>151658.77276472241</v>
      </c>
      <c r="E12" s="70">
        <f>IFERROR(VLOOKUP(B12,'Acreditación BD'!$B$4:$K$12,10,0),0)</f>
        <v>189174.2240963855</v>
      </c>
      <c r="F12" s="70">
        <f>IFERROR(VLOOKUP(B12,'Doctorado JC BD'!$B$4:$E$12,4,0),0)</f>
        <v>167629.0008460237</v>
      </c>
      <c r="G12" s="70">
        <f>IFERROR(VLOOKUP(B12,'Programas Doct. Acreditados BD'!$B$4:$E$12,4,0),0)</f>
        <v>155076.15407407409</v>
      </c>
      <c r="H12" s="70">
        <f>IFERROR(VLOOKUP(B12,'Académicos JC BD'!$B$4:$E$12,4,0),0)</f>
        <v>194300.65592105265</v>
      </c>
      <c r="I12" s="70">
        <f>IFERROR(VLOOKUP(B12,'Matrícula Regular Pre BD'!$B$4:$E$12,4,0),0)</f>
        <v>204890.47152448361</v>
      </c>
      <c r="J12" s="211">
        <f t="shared" si="0"/>
        <v>1062729.279226742</v>
      </c>
    </row>
    <row r="13" spans="1:10" ht="15" thickBot="1" x14ac:dyDescent="0.4">
      <c r="A13" s="78" t="s">
        <v>20</v>
      </c>
      <c r="B13" s="83" t="s">
        <v>19</v>
      </c>
      <c r="C13" s="66" t="s">
        <v>17</v>
      </c>
      <c r="D13" s="80">
        <f>IFERROR(VLOOKUP(B13,'Publicaciones BD'!$B$4:$E$12,4,0),0)</f>
        <v>107802.68177136974</v>
      </c>
      <c r="E13" s="80">
        <f>IFERROR(VLOOKUP(B13,'Acreditación BD'!$B$4:$K$12,10,0),0)</f>
        <v>189174.2240963855</v>
      </c>
      <c r="F13" s="80">
        <f>IFERROR(VLOOKUP(B13,'Doctorado JC BD'!$B$4:$E$12,4,0),0)</f>
        <v>100577.40050761422</v>
      </c>
      <c r="G13" s="80">
        <f>IFERROR(VLOOKUP(B13,'Programas Doct. Acreditados BD'!$B$4:$E$12,4,0),0)</f>
        <v>77538.077037037045</v>
      </c>
      <c r="H13" s="80">
        <f>IFERROR(VLOOKUP(B13,'Académicos JC BD'!$B$4:$E$12,4,0),0)</f>
        <v>122975.09868421052</v>
      </c>
      <c r="I13" s="80">
        <f>IFERROR(VLOOKUP(B13,'Matrícula Regular Pre BD'!$B$4:$E$12,4,0),0)</f>
        <v>219225.25126810232</v>
      </c>
      <c r="J13" s="211">
        <f t="shared" si="0"/>
        <v>817292.73336471932</v>
      </c>
    </row>
    <row r="14" spans="1:10" ht="15" thickBot="1" x14ac:dyDescent="0.4">
      <c r="A14" s="266" t="s">
        <v>103</v>
      </c>
      <c r="B14" s="267"/>
      <c r="C14" s="267"/>
      <c r="D14" s="68">
        <f>SUM(D5:D13)</f>
        <v>2616910.1000000006</v>
      </c>
      <c r="E14" s="68">
        <f t="shared" ref="E14:J14" si="1">SUM(E5:E13)</f>
        <v>2616910.0999999996</v>
      </c>
      <c r="F14" s="68">
        <f t="shared" si="1"/>
        <v>2616910.0999999996</v>
      </c>
      <c r="G14" s="68">
        <f t="shared" si="1"/>
        <v>2616910.0999999996</v>
      </c>
      <c r="H14" s="68">
        <f t="shared" si="1"/>
        <v>2616910.0999999996</v>
      </c>
      <c r="I14" s="68">
        <f t="shared" si="1"/>
        <v>2616910.1</v>
      </c>
      <c r="J14" s="212">
        <f t="shared" si="1"/>
        <v>15701460.600000003</v>
      </c>
    </row>
    <row r="15" spans="1:10" x14ac:dyDescent="0.35">
      <c r="D15" s="58"/>
      <c r="E15" s="58"/>
      <c r="F15" s="58"/>
      <c r="G15" s="58"/>
      <c r="H15" s="58"/>
      <c r="I15" s="58"/>
      <c r="J15" s="58"/>
    </row>
    <row r="16" spans="1:10" x14ac:dyDescent="0.35">
      <c r="D16" s="58"/>
      <c r="E16" s="58"/>
      <c r="F16" s="58"/>
      <c r="G16" s="58"/>
      <c r="H16" s="58"/>
      <c r="I16" s="58"/>
      <c r="J16" s="58"/>
    </row>
  </sheetData>
  <mergeCells count="2">
    <mergeCell ref="A14:C14"/>
    <mergeCell ref="D3:J3"/>
  </mergeCells>
  <pageMargins left="0.31496062992125984" right="0.31496062992125984" top="0.74803149606299213" bottom="0.74803149606299213" header="0.31496062992125984" footer="0.31496062992125984"/>
  <pageSetup paperSize="14" scale="70" orientation="landscape" r:id="rId1"/>
  <headerFooter>
    <oddFooter>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 tint="0.59999389629810485"/>
  </sheetPr>
  <dimension ref="A2:E16"/>
  <sheetViews>
    <sheetView zoomScale="90" zoomScaleNormal="90" workbookViewId="0">
      <selection activeCell="F4" sqref="F4"/>
    </sheetView>
  </sheetViews>
  <sheetFormatPr baseColWidth="10" defaultRowHeight="14.5" x14ac:dyDescent="0.35"/>
  <cols>
    <col min="1" max="1" width="44.7265625" bestFit="1" customWidth="1"/>
    <col min="2" max="2" width="13.1796875" bestFit="1" customWidth="1"/>
    <col min="3" max="3" width="12.1796875" bestFit="1" customWidth="1"/>
    <col min="5" max="5" width="14.453125" bestFit="1" customWidth="1"/>
  </cols>
  <sheetData>
    <row r="2" spans="1:5" x14ac:dyDescent="0.35">
      <c r="B2" s="150">
        <v>1</v>
      </c>
      <c r="C2" s="150">
        <v>2</v>
      </c>
      <c r="D2" s="150">
        <v>3</v>
      </c>
      <c r="E2" s="150">
        <v>4</v>
      </c>
    </row>
    <row r="3" spans="1:5" ht="26" x14ac:dyDescent="0.35">
      <c r="A3" s="44" t="s">
        <v>8</v>
      </c>
      <c r="B3" s="45" t="s">
        <v>0</v>
      </c>
      <c r="C3" s="45" t="s">
        <v>190</v>
      </c>
      <c r="D3" s="45" t="s">
        <v>75</v>
      </c>
      <c r="E3" s="45" t="s">
        <v>76</v>
      </c>
    </row>
    <row r="4" spans="1:5" x14ac:dyDescent="0.35">
      <c r="A4" s="38" t="s">
        <v>9</v>
      </c>
      <c r="B4" s="38" t="s">
        <v>1</v>
      </c>
      <c r="C4" s="39">
        <v>4337</v>
      </c>
      <c r="D4" s="42">
        <f t="shared" ref="D4:D12" si="0">C4/$C$13</f>
        <v>0.40604812283494057</v>
      </c>
      <c r="E4" s="43">
        <f t="shared" ref="E4:E12" si="1">$B$16*D4</f>
        <v>1062591.4337327967</v>
      </c>
    </row>
    <row r="5" spans="1:5" x14ac:dyDescent="0.35">
      <c r="A5" s="38" t="s">
        <v>10</v>
      </c>
      <c r="B5" s="38" t="s">
        <v>2</v>
      </c>
      <c r="C5" s="39">
        <v>1490</v>
      </c>
      <c r="D5" s="42">
        <f t="shared" si="0"/>
        <v>0.13950004681209624</v>
      </c>
      <c r="E5" s="43">
        <f t="shared" si="1"/>
        <v>365059.08145304746</v>
      </c>
    </row>
    <row r="6" spans="1:5" x14ac:dyDescent="0.35">
      <c r="A6" s="38" t="s">
        <v>11</v>
      </c>
      <c r="B6" s="38" t="s">
        <v>3</v>
      </c>
      <c r="C6" s="39">
        <v>1017</v>
      </c>
      <c r="D6" s="42">
        <f t="shared" si="0"/>
        <v>9.5215803763692541E-2</v>
      </c>
      <c r="E6" s="43">
        <f t="shared" si="1"/>
        <v>249171.19854882502</v>
      </c>
    </row>
    <row r="7" spans="1:5" x14ac:dyDescent="0.35">
      <c r="A7" s="38" t="s">
        <v>12</v>
      </c>
      <c r="B7" s="38" t="s">
        <v>4</v>
      </c>
      <c r="C7" s="39">
        <v>867</v>
      </c>
      <c r="D7" s="42">
        <f t="shared" si="0"/>
        <v>8.117217488999158E-2</v>
      </c>
      <c r="E7" s="43">
        <f t="shared" si="1"/>
        <v>212420.28430858537</v>
      </c>
    </row>
    <row r="8" spans="1:5" x14ac:dyDescent="0.35">
      <c r="A8" s="38" t="s">
        <v>14</v>
      </c>
      <c r="B8" s="38" t="s">
        <v>6</v>
      </c>
      <c r="C8" s="39">
        <v>714</v>
      </c>
      <c r="D8" s="42">
        <f t="shared" si="0"/>
        <v>6.6847673438816591E-2</v>
      </c>
      <c r="E8" s="43">
        <f t="shared" si="1"/>
        <v>174934.35178354089</v>
      </c>
    </row>
    <row r="9" spans="1:5" x14ac:dyDescent="0.35">
      <c r="A9" s="38" t="s">
        <v>13</v>
      </c>
      <c r="B9" s="38" t="s">
        <v>5</v>
      </c>
      <c r="C9" s="39">
        <v>853</v>
      </c>
      <c r="D9" s="42">
        <f t="shared" si="0"/>
        <v>7.9861436195112823E-2</v>
      </c>
      <c r="E9" s="43">
        <f t="shared" si="1"/>
        <v>208990.19897949632</v>
      </c>
    </row>
    <row r="10" spans="1:5" x14ac:dyDescent="0.35">
      <c r="A10" s="38" t="s">
        <v>15</v>
      </c>
      <c r="B10" s="38" t="s">
        <v>7</v>
      </c>
      <c r="C10" s="39">
        <v>344</v>
      </c>
      <c r="D10" s="42">
        <f t="shared" si="0"/>
        <v>3.2206722217020881E-2</v>
      </c>
      <c r="E10" s="43">
        <f t="shared" si="1"/>
        <v>84282.096657616334</v>
      </c>
    </row>
    <row r="11" spans="1:5" x14ac:dyDescent="0.35">
      <c r="A11" s="38" t="s">
        <v>20</v>
      </c>
      <c r="B11" s="38" t="s">
        <v>19</v>
      </c>
      <c r="C11" s="39">
        <v>440</v>
      </c>
      <c r="D11" s="42">
        <f t="shared" si="0"/>
        <v>4.1194644696189497E-2</v>
      </c>
      <c r="E11" s="43">
        <f t="shared" si="1"/>
        <v>107802.68177136974</v>
      </c>
    </row>
    <row r="12" spans="1:5" x14ac:dyDescent="0.35">
      <c r="A12" s="38" t="s">
        <v>21</v>
      </c>
      <c r="B12" s="38" t="s">
        <v>18</v>
      </c>
      <c r="C12" s="39">
        <v>619</v>
      </c>
      <c r="D12" s="42">
        <f t="shared" si="0"/>
        <v>5.795337515213931E-2</v>
      </c>
      <c r="E12" s="43">
        <f t="shared" si="1"/>
        <v>151658.77276472241</v>
      </c>
    </row>
    <row r="13" spans="1:5" x14ac:dyDescent="0.35">
      <c r="C13" s="37">
        <v>10681</v>
      </c>
      <c r="D13" s="50">
        <f>SUM(D4:D12)</f>
        <v>1.0000000000000002</v>
      </c>
      <c r="E13" s="51">
        <f>SUM(E4:E12)</f>
        <v>2616910.1</v>
      </c>
    </row>
    <row r="16" spans="1:5" x14ac:dyDescent="0.35">
      <c r="A16" t="s">
        <v>77</v>
      </c>
      <c r="B16" s="5">
        <f>'Montos BD 2025'!B38/6</f>
        <v>2616910.1</v>
      </c>
    </row>
  </sheetData>
  <phoneticPr fontId="14" type="noConversion"/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59999389629810485"/>
  </sheetPr>
  <dimension ref="A2:K16"/>
  <sheetViews>
    <sheetView zoomScale="90" zoomScaleNormal="90" workbookViewId="0">
      <selection activeCell="C4" sqref="C4"/>
    </sheetView>
  </sheetViews>
  <sheetFormatPr baseColWidth="10" defaultRowHeight="14.5" x14ac:dyDescent="0.35"/>
  <cols>
    <col min="1" max="1" width="44.7265625" bestFit="1" customWidth="1"/>
    <col min="3" max="3" width="14" customWidth="1"/>
    <col min="4" max="4" width="12.54296875" customWidth="1"/>
    <col min="5" max="5" width="13.453125" customWidth="1"/>
    <col min="6" max="6" width="12.7265625" customWidth="1"/>
    <col min="7" max="7" width="13.7265625" customWidth="1"/>
    <col min="8" max="8" width="13.81640625" customWidth="1"/>
  </cols>
  <sheetData>
    <row r="2" spans="1:11" x14ac:dyDescent="0.35">
      <c r="B2" s="150">
        <v>1</v>
      </c>
      <c r="C2" s="150">
        <v>2</v>
      </c>
      <c r="D2" s="150">
        <v>3</v>
      </c>
      <c r="E2" s="150">
        <v>4</v>
      </c>
      <c r="F2" s="150">
        <v>5</v>
      </c>
      <c r="G2" s="150">
        <v>6</v>
      </c>
      <c r="H2" s="150">
        <v>7</v>
      </c>
      <c r="I2" s="150">
        <v>8</v>
      </c>
      <c r="J2" s="150">
        <v>9</v>
      </c>
      <c r="K2" s="150">
        <v>10</v>
      </c>
    </row>
    <row r="3" spans="1:11" ht="60" customHeight="1" x14ac:dyDescent="0.35">
      <c r="A3" s="48" t="s">
        <v>8</v>
      </c>
      <c r="B3" s="49" t="s">
        <v>0</v>
      </c>
      <c r="C3" s="45" t="s">
        <v>199</v>
      </c>
      <c r="D3" s="45" t="s">
        <v>200</v>
      </c>
      <c r="E3" s="45" t="s">
        <v>201</v>
      </c>
      <c r="F3" s="45" t="s">
        <v>84</v>
      </c>
      <c r="G3" s="45" t="s">
        <v>85</v>
      </c>
      <c r="H3" s="45" t="s">
        <v>86</v>
      </c>
      <c r="I3" s="45" t="s">
        <v>87</v>
      </c>
      <c r="J3" s="45" t="s">
        <v>89</v>
      </c>
      <c r="K3" s="45" t="s">
        <v>88</v>
      </c>
    </row>
    <row r="4" spans="1:11" x14ac:dyDescent="0.35">
      <c r="A4" s="38" t="s">
        <v>9</v>
      </c>
      <c r="B4" s="38" t="s">
        <v>1</v>
      </c>
      <c r="C4" s="104">
        <v>1</v>
      </c>
      <c r="D4" s="104">
        <v>1</v>
      </c>
      <c r="E4" s="104">
        <v>7</v>
      </c>
      <c r="F4" s="104">
        <f>C4*100</f>
        <v>100</v>
      </c>
      <c r="G4" s="104">
        <f>D4*100</f>
        <v>100</v>
      </c>
      <c r="H4" s="104">
        <f>E4/7*100</f>
        <v>100</v>
      </c>
      <c r="I4" s="104">
        <f>F4+G4+H4</f>
        <v>300</v>
      </c>
      <c r="J4" s="105">
        <f t="shared" ref="J4:J12" si="0">I4/$I$13</f>
        <v>0.12650602409638551</v>
      </c>
      <c r="K4" s="106">
        <f t="shared" ref="K4:K12" si="1">J4*$B$16</f>
        <v>331054.89216867462</v>
      </c>
    </row>
    <row r="5" spans="1:11" x14ac:dyDescent="0.35">
      <c r="A5" s="38" t="s">
        <v>10</v>
      </c>
      <c r="B5" s="38" t="s">
        <v>2</v>
      </c>
      <c r="C5" s="104">
        <v>1</v>
      </c>
      <c r="D5" s="104">
        <v>1</v>
      </c>
      <c r="E5" s="104">
        <v>7</v>
      </c>
      <c r="F5" s="104">
        <f t="shared" ref="F5:F12" si="2">C5*100</f>
        <v>100</v>
      </c>
      <c r="G5" s="104">
        <f t="shared" ref="G5:G12" si="3">D5*100</f>
        <v>100</v>
      </c>
      <c r="H5" s="104">
        <f t="shared" ref="H5:H12" si="4">E5/7*100</f>
        <v>100</v>
      </c>
      <c r="I5" s="104">
        <f t="shared" ref="I5:I12" si="5">F5+G5+H5</f>
        <v>300</v>
      </c>
      <c r="J5" s="105">
        <f t="shared" si="0"/>
        <v>0.12650602409638551</v>
      </c>
      <c r="K5" s="106">
        <f t="shared" si="1"/>
        <v>331054.89216867462</v>
      </c>
    </row>
    <row r="6" spans="1:11" x14ac:dyDescent="0.35">
      <c r="A6" s="38" t="s">
        <v>11</v>
      </c>
      <c r="B6" s="38" t="s">
        <v>3</v>
      </c>
      <c r="C6" s="104">
        <v>1</v>
      </c>
      <c r="D6" s="104">
        <v>1</v>
      </c>
      <c r="E6" s="104">
        <v>7</v>
      </c>
      <c r="F6" s="104">
        <f t="shared" si="2"/>
        <v>100</v>
      </c>
      <c r="G6" s="104">
        <f t="shared" si="3"/>
        <v>100</v>
      </c>
      <c r="H6" s="104">
        <f t="shared" si="4"/>
        <v>100</v>
      </c>
      <c r="I6" s="104">
        <f t="shared" si="5"/>
        <v>300</v>
      </c>
      <c r="J6" s="105">
        <f t="shared" si="0"/>
        <v>0.12650602409638551</v>
      </c>
      <c r="K6" s="106">
        <f t="shared" si="1"/>
        <v>331054.89216867462</v>
      </c>
    </row>
    <row r="7" spans="1:11" x14ac:dyDescent="0.35">
      <c r="A7" s="38" t="s">
        <v>12</v>
      </c>
      <c r="B7" s="38" t="s">
        <v>4</v>
      </c>
      <c r="C7" s="104">
        <v>1</v>
      </c>
      <c r="D7" s="104">
        <v>1</v>
      </c>
      <c r="E7" s="104">
        <v>6</v>
      </c>
      <c r="F7" s="104">
        <f t="shared" si="2"/>
        <v>100</v>
      </c>
      <c r="G7" s="104">
        <f t="shared" si="3"/>
        <v>100</v>
      </c>
      <c r="H7" s="104">
        <f t="shared" si="4"/>
        <v>85.714285714285708</v>
      </c>
      <c r="I7" s="104">
        <f t="shared" si="5"/>
        <v>285.71428571428572</v>
      </c>
      <c r="J7" s="105">
        <f t="shared" si="0"/>
        <v>0.12048192771084335</v>
      </c>
      <c r="K7" s="106">
        <f t="shared" si="1"/>
        <v>315290.37349397584</v>
      </c>
    </row>
    <row r="8" spans="1:11" x14ac:dyDescent="0.35">
      <c r="A8" s="38" t="s">
        <v>14</v>
      </c>
      <c r="B8" s="38" t="s">
        <v>6</v>
      </c>
      <c r="C8" s="104">
        <v>1</v>
      </c>
      <c r="D8" s="104">
        <v>1</v>
      </c>
      <c r="E8" s="104">
        <v>6</v>
      </c>
      <c r="F8" s="104">
        <f t="shared" si="2"/>
        <v>100</v>
      </c>
      <c r="G8" s="104">
        <f t="shared" si="3"/>
        <v>100</v>
      </c>
      <c r="H8" s="104">
        <f t="shared" si="4"/>
        <v>85.714285714285708</v>
      </c>
      <c r="I8" s="104">
        <f t="shared" si="5"/>
        <v>285.71428571428572</v>
      </c>
      <c r="J8" s="105">
        <f t="shared" si="0"/>
        <v>0.12048192771084335</v>
      </c>
      <c r="K8" s="106">
        <f t="shared" si="1"/>
        <v>315290.37349397584</v>
      </c>
    </row>
    <row r="9" spans="1:11" x14ac:dyDescent="0.35">
      <c r="A9" s="38" t="s">
        <v>13</v>
      </c>
      <c r="B9" s="38" t="s">
        <v>5</v>
      </c>
      <c r="C9" s="104">
        <v>1</v>
      </c>
      <c r="D9" s="104">
        <v>1</v>
      </c>
      <c r="E9" s="104">
        <v>6</v>
      </c>
      <c r="F9" s="104">
        <f t="shared" si="2"/>
        <v>100</v>
      </c>
      <c r="G9" s="104">
        <f t="shared" si="3"/>
        <v>100</v>
      </c>
      <c r="H9" s="104">
        <f t="shared" si="4"/>
        <v>85.714285714285708</v>
      </c>
      <c r="I9" s="104">
        <f t="shared" si="5"/>
        <v>285.71428571428572</v>
      </c>
      <c r="J9" s="105">
        <f t="shared" si="0"/>
        <v>0.12048192771084335</v>
      </c>
      <c r="K9" s="106">
        <f t="shared" si="1"/>
        <v>315290.37349397584</v>
      </c>
    </row>
    <row r="10" spans="1:11" x14ac:dyDescent="0.35">
      <c r="A10" s="38" t="s">
        <v>15</v>
      </c>
      <c r="B10" s="38" t="s">
        <v>7</v>
      </c>
      <c r="C10" s="104">
        <v>1</v>
      </c>
      <c r="D10" s="104">
        <v>1</v>
      </c>
      <c r="E10" s="104">
        <v>5</v>
      </c>
      <c r="F10" s="104">
        <f t="shared" si="2"/>
        <v>100</v>
      </c>
      <c r="G10" s="104">
        <f t="shared" si="3"/>
        <v>100</v>
      </c>
      <c r="H10" s="104">
        <f t="shared" si="4"/>
        <v>71.428571428571431</v>
      </c>
      <c r="I10" s="104">
        <f t="shared" si="5"/>
        <v>271.42857142857144</v>
      </c>
      <c r="J10" s="105">
        <f t="shared" si="0"/>
        <v>0.11445783132530118</v>
      </c>
      <c r="K10" s="106">
        <f t="shared" si="1"/>
        <v>299525.85481927707</v>
      </c>
    </row>
    <row r="11" spans="1:11" x14ac:dyDescent="0.35">
      <c r="A11" s="38" t="s">
        <v>20</v>
      </c>
      <c r="B11" s="38" t="s">
        <v>19</v>
      </c>
      <c r="C11" s="104">
        <v>1</v>
      </c>
      <c r="D11" s="104">
        <v>0</v>
      </c>
      <c r="E11" s="104">
        <v>5</v>
      </c>
      <c r="F11" s="104">
        <f t="shared" si="2"/>
        <v>100</v>
      </c>
      <c r="G11" s="104">
        <f t="shared" si="3"/>
        <v>0</v>
      </c>
      <c r="H11" s="104">
        <f t="shared" si="4"/>
        <v>71.428571428571431</v>
      </c>
      <c r="I11" s="104">
        <f t="shared" si="5"/>
        <v>171.42857142857144</v>
      </c>
      <c r="J11" s="105">
        <f t="shared" si="0"/>
        <v>7.2289156626506007E-2</v>
      </c>
      <c r="K11" s="106">
        <f t="shared" si="1"/>
        <v>189174.2240963855</v>
      </c>
    </row>
    <row r="12" spans="1:11" x14ac:dyDescent="0.35">
      <c r="A12" s="38" t="s">
        <v>21</v>
      </c>
      <c r="B12" s="38" t="s">
        <v>18</v>
      </c>
      <c r="C12" s="104">
        <v>1</v>
      </c>
      <c r="D12" s="104">
        <v>0</v>
      </c>
      <c r="E12" s="104">
        <v>5</v>
      </c>
      <c r="F12" s="104">
        <f t="shared" si="2"/>
        <v>100</v>
      </c>
      <c r="G12" s="104">
        <f t="shared" si="3"/>
        <v>0</v>
      </c>
      <c r="H12" s="104">
        <f t="shared" si="4"/>
        <v>71.428571428571431</v>
      </c>
      <c r="I12" s="104">
        <f t="shared" si="5"/>
        <v>171.42857142857144</v>
      </c>
      <c r="J12" s="105">
        <f t="shared" si="0"/>
        <v>7.2289156626506007E-2</v>
      </c>
      <c r="K12" s="106">
        <f t="shared" si="1"/>
        <v>189174.2240963855</v>
      </c>
    </row>
    <row r="13" spans="1:11" x14ac:dyDescent="0.35">
      <c r="C13" s="52">
        <v>9</v>
      </c>
      <c r="D13" s="52">
        <v>7</v>
      </c>
      <c r="E13" s="52">
        <v>54</v>
      </c>
      <c r="F13" s="52">
        <f t="shared" ref="F13:K13" si="6">SUM(F4:F12)</f>
        <v>900</v>
      </c>
      <c r="G13" s="52">
        <f t="shared" si="6"/>
        <v>700</v>
      </c>
      <c r="H13" s="52">
        <f t="shared" si="6"/>
        <v>771.42857142857144</v>
      </c>
      <c r="I13" s="52">
        <f t="shared" si="6"/>
        <v>2371.428571428572</v>
      </c>
      <c r="J13" s="52">
        <f t="shared" si="6"/>
        <v>0.99999999999999978</v>
      </c>
      <c r="K13" s="52">
        <f t="shared" si="6"/>
        <v>2616910.0999999996</v>
      </c>
    </row>
    <row r="16" spans="1:11" x14ac:dyDescent="0.35">
      <c r="A16" t="s">
        <v>90</v>
      </c>
      <c r="B16" s="5">
        <f>'Montos BD 2025'!B38/6</f>
        <v>2616910.1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4559A-3A8B-4F61-8795-8F172962E6FA}">
  <sheetPr>
    <tabColor theme="6" tint="0.59999389629810485"/>
  </sheetPr>
  <dimension ref="A2:E16"/>
  <sheetViews>
    <sheetView zoomScale="90" zoomScaleNormal="90" workbookViewId="0">
      <selection activeCell="F4" sqref="F4"/>
    </sheetView>
  </sheetViews>
  <sheetFormatPr baseColWidth="10" defaultRowHeight="14.5" x14ac:dyDescent="0.35"/>
  <cols>
    <col min="1" max="1" width="50" bestFit="1" customWidth="1"/>
    <col min="5" max="5" width="12.1796875" bestFit="1" customWidth="1"/>
  </cols>
  <sheetData>
    <row r="2" spans="1:5" x14ac:dyDescent="0.35">
      <c r="B2" s="150">
        <v>1</v>
      </c>
      <c r="C2" s="150">
        <v>2</v>
      </c>
      <c r="D2" s="150">
        <v>3</v>
      </c>
      <c r="E2" s="150">
        <v>4</v>
      </c>
    </row>
    <row r="3" spans="1:5" ht="26" x14ac:dyDescent="0.35">
      <c r="A3" s="44" t="s">
        <v>8</v>
      </c>
      <c r="B3" s="45" t="s">
        <v>0</v>
      </c>
      <c r="C3" s="45" t="s">
        <v>189</v>
      </c>
      <c r="D3" s="45" t="s">
        <v>89</v>
      </c>
      <c r="E3" s="45" t="s">
        <v>88</v>
      </c>
    </row>
    <row r="4" spans="1:5" x14ac:dyDescent="0.35">
      <c r="A4" s="38" t="s">
        <v>92</v>
      </c>
      <c r="B4" s="38" t="s">
        <v>1</v>
      </c>
      <c r="C4" s="106">
        <v>1066</v>
      </c>
      <c r="D4" s="46">
        <f t="shared" ref="D4:D12" si="0">C4/$C$13</f>
        <v>0.25767464346144547</v>
      </c>
      <c r="E4" s="53">
        <f t="shared" ref="E4:E12" si="1">D4*$B$16</f>
        <v>674311.37698815565</v>
      </c>
    </row>
    <row r="5" spans="1:5" x14ac:dyDescent="0.35">
      <c r="A5" s="38" t="s">
        <v>93</v>
      </c>
      <c r="B5" s="38" t="s">
        <v>2</v>
      </c>
      <c r="C5" s="106">
        <v>879</v>
      </c>
      <c r="D5" s="46">
        <f t="shared" si="0"/>
        <v>0.21247280638143581</v>
      </c>
      <c r="E5" s="53">
        <f t="shared" si="1"/>
        <v>556022.23299492383</v>
      </c>
    </row>
    <row r="6" spans="1:5" x14ac:dyDescent="0.35">
      <c r="A6" s="38" t="s">
        <v>94</v>
      </c>
      <c r="B6" s="38" t="s">
        <v>3</v>
      </c>
      <c r="C6" s="106">
        <v>473</v>
      </c>
      <c r="D6" s="46">
        <f t="shared" si="0"/>
        <v>0.11433405849649504</v>
      </c>
      <c r="E6" s="53">
        <f t="shared" si="1"/>
        <v>299201.95245346869</v>
      </c>
    </row>
    <row r="7" spans="1:5" x14ac:dyDescent="0.35">
      <c r="A7" s="38" t="s">
        <v>12</v>
      </c>
      <c r="B7" s="38" t="s">
        <v>4</v>
      </c>
      <c r="C7" s="106">
        <v>476</v>
      </c>
      <c r="D7" s="46">
        <f t="shared" si="0"/>
        <v>0.11505922165820642</v>
      </c>
      <c r="E7" s="53">
        <f t="shared" si="1"/>
        <v>301099.63925549918</v>
      </c>
    </row>
    <row r="8" spans="1:5" x14ac:dyDescent="0.35">
      <c r="A8" s="38" t="s">
        <v>95</v>
      </c>
      <c r="B8" s="38" t="s">
        <v>6</v>
      </c>
      <c r="C8" s="106">
        <v>285</v>
      </c>
      <c r="D8" s="46">
        <f t="shared" si="0"/>
        <v>6.8890500362581583E-2</v>
      </c>
      <c r="E8" s="53">
        <f t="shared" si="1"/>
        <v>180280.24619289342</v>
      </c>
    </row>
    <row r="9" spans="1:5" x14ac:dyDescent="0.35">
      <c r="A9" s="38" t="s">
        <v>96</v>
      </c>
      <c r="B9" s="38" t="s">
        <v>5</v>
      </c>
      <c r="C9" s="106">
        <v>310</v>
      </c>
      <c r="D9" s="46">
        <f t="shared" si="0"/>
        <v>7.493352671017646E-2</v>
      </c>
      <c r="E9" s="53">
        <f t="shared" si="1"/>
        <v>196094.30287648056</v>
      </c>
    </row>
    <row r="10" spans="1:5" x14ac:dyDescent="0.35">
      <c r="A10" s="38" t="s">
        <v>97</v>
      </c>
      <c r="B10" s="38" t="s">
        <v>7</v>
      </c>
      <c r="C10" s="106">
        <v>224</v>
      </c>
      <c r="D10" s="46">
        <f t="shared" si="0"/>
        <v>5.4145516074450083E-2</v>
      </c>
      <c r="E10" s="53">
        <f t="shared" si="1"/>
        <v>141693.94788494078</v>
      </c>
    </row>
    <row r="11" spans="1:5" x14ac:dyDescent="0.35">
      <c r="A11" s="38" t="s">
        <v>98</v>
      </c>
      <c r="B11" s="38" t="s">
        <v>19</v>
      </c>
      <c r="C11" s="106">
        <v>159</v>
      </c>
      <c r="D11" s="46">
        <f t="shared" si="0"/>
        <v>3.8433647570703409E-2</v>
      </c>
      <c r="E11" s="53">
        <f t="shared" si="1"/>
        <v>100577.40050761422</v>
      </c>
    </row>
    <row r="12" spans="1:5" x14ac:dyDescent="0.35">
      <c r="A12" s="38" t="s">
        <v>99</v>
      </c>
      <c r="B12" s="38" t="s">
        <v>18</v>
      </c>
      <c r="C12" s="106">
        <v>265</v>
      </c>
      <c r="D12" s="46">
        <f t="shared" si="0"/>
        <v>6.4056079284505685E-2</v>
      </c>
      <c r="E12" s="53">
        <f t="shared" si="1"/>
        <v>167629.0008460237</v>
      </c>
    </row>
    <row r="13" spans="1:5" x14ac:dyDescent="0.35">
      <c r="C13" s="52">
        <v>4137</v>
      </c>
      <c r="D13" s="154">
        <f>SUM(D4:D12)</f>
        <v>1</v>
      </c>
      <c r="E13" s="153">
        <f>SUM(E4:E12)</f>
        <v>2616910.0999999996</v>
      </c>
    </row>
    <row r="16" spans="1:5" x14ac:dyDescent="0.35">
      <c r="A16" t="s">
        <v>91</v>
      </c>
      <c r="B16" s="5">
        <f>'Montos BD 2025'!B38/6</f>
        <v>2616910.1</v>
      </c>
    </row>
  </sheetData>
  <autoFilter ref="A3:C12" xr:uid="{8ABAA2A2-4EA5-4CA7-A3F1-190DB176F36F}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6</vt:i4>
      </vt:variant>
    </vt:vector>
  </HeadingPairs>
  <TitlesOfParts>
    <vt:vector size="18" baseType="lpstr">
      <vt:lpstr>Montos BD 2025</vt:lpstr>
      <vt:lpstr>Montos Anticipo BD 2025</vt:lpstr>
      <vt:lpstr>Categorías</vt:lpstr>
      <vt:lpstr>Valores</vt:lpstr>
      <vt:lpstr>DESEMPEÑO (Indicadores)</vt:lpstr>
      <vt:lpstr>COMPLEJIDAD</vt:lpstr>
      <vt:lpstr>Publicaciones BD</vt:lpstr>
      <vt:lpstr>Acreditación BD</vt:lpstr>
      <vt:lpstr>Doctorado JC BD</vt:lpstr>
      <vt:lpstr>Programas Doct. Acreditados BD</vt:lpstr>
      <vt:lpstr>Académicos JC BD</vt:lpstr>
      <vt:lpstr>Matrícula Regular Pre BD</vt:lpstr>
      <vt:lpstr>COMPLEJIDAD!Área_de_impresión</vt:lpstr>
      <vt:lpstr>'Montos Anticipo BD 2025'!Área_de_impresión</vt:lpstr>
      <vt:lpstr>'Montos BD 2025'!Área_de_impresión</vt:lpstr>
      <vt:lpstr>COMPLEJIDAD!Títulos_a_imprimir</vt:lpstr>
      <vt:lpstr>'Montos Anticipo BD 2025'!Títulos_a_imprimir</vt:lpstr>
      <vt:lpstr>'Montos BD 2025'!Títulos_a_imprimir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Aldo Torres Huerta</dc:creator>
  <cp:lastModifiedBy>Rosa Roman Parra</cp:lastModifiedBy>
  <cp:lastPrinted>2025-03-20T13:48:51Z</cp:lastPrinted>
  <dcterms:created xsi:type="dcterms:W3CDTF">2016-05-30T15:19:10Z</dcterms:created>
  <dcterms:modified xsi:type="dcterms:W3CDTF">2026-08-10T14:40:04Z</dcterms:modified>
</cp:coreProperties>
</file>